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codeName="ThisWorkbook" defaultThemeVersion="124226"/>
  <bookViews>
    <workbookView xWindow="600" yWindow="300" windowWidth="19320" windowHeight="9210" tabRatio="794" activeTab="1"/>
  </bookViews>
  <sheets>
    <sheet name="Intro" sheetId="3" r:id="rId1"/>
    <sheet name="Local Government" sheetId="19" r:id="rId2"/>
    <sheet name="Community-Wide" sheetId="17" r:id="rId3"/>
    <sheet name="Buildings" sheetId="11" r:id="rId4"/>
    <sheet name="Utility" sheetId="18" r:id="rId5"/>
    <sheet name="Transportation" sheetId="21" r:id="rId6"/>
    <sheet name="Hidden Sheet" sheetId="10" state="veryHidden" r:id="rId7"/>
    <sheet name="Intro Analysis" sheetId="24" r:id="rId8"/>
    <sheet name="Analysis Data 1" sheetId="25" state="veryHidden" r:id="rId9"/>
    <sheet name="Analysis Data 2" sheetId="27" state="veryHidden" r:id="rId10"/>
    <sheet name="Detailed Analysis" sheetId="16" r:id="rId11"/>
    <sheet name="Peer City Scores" sheetId="33" state="veryHidden" r:id="rId12"/>
    <sheet name="City Scorecard Scores" sheetId="30" state="veryHidden" r:id="rId13"/>
    <sheet name="Intro Chart Data" sheetId="23" state="veryHidden" r:id="rId14"/>
  </sheets>
  <externalReferences>
    <externalReference r:id="rId15"/>
    <externalReference r:id="rId16"/>
    <externalReference r:id="rId17"/>
    <externalReference r:id="rId18"/>
  </externalReferences>
  <definedNames>
    <definedName name="Scoring" localSheetId="13">OFFSET([1]DynamicChart1!$A$2,0,0,COUNTA(Chart [2]Data!$A$1:$A$65536))</definedName>
  </definedNames>
  <calcPr calcId="114210" fullCalcOnLoad="1" concurrentCalc="0"/>
</workbook>
</file>

<file path=xl/calcChain.xml><?xml version="1.0" encoding="utf-8"?>
<calcChain xmlns="http://schemas.openxmlformats.org/spreadsheetml/2006/main">
  <c r="E48" i="11"/>
  <c r="H51" i="16"/>
  <c r="H52"/>
  <c r="H53"/>
  <c r="H54"/>
  <c r="H50"/>
  <c r="E23" i="11"/>
  <c r="H41" i="16"/>
  <c r="H42"/>
  <c r="H43"/>
  <c r="H44"/>
  <c r="H40"/>
  <c r="H46"/>
  <c r="H47"/>
  <c r="H48"/>
  <c r="H49"/>
  <c r="H45"/>
  <c r="E11" i="11"/>
  <c r="E12"/>
  <c r="H37" i="16"/>
  <c r="H38"/>
  <c r="H39"/>
  <c r="H36"/>
  <c r="H35"/>
  <c r="D51"/>
  <c r="D52"/>
  <c r="E50" i="11"/>
  <c r="D53" i="16"/>
  <c r="D54"/>
  <c r="D50"/>
  <c r="D37"/>
  <c r="E13" i="11"/>
  <c r="E14"/>
  <c r="D38" i="16"/>
  <c r="E15" i="11"/>
  <c r="D39" i="16"/>
  <c r="D36"/>
  <c r="D41"/>
  <c r="D42"/>
  <c r="E26" i="11"/>
  <c r="D43" i="16"/>
  <c r="E27" i="11"/>
  <c r="E28"/>
  <c r="D44" i="16"/>
  <c r="D40"/>
  <c r="D46"/>
  <c r="D47"/>
  <c r="D48"/>
  <c r="D49"/>
  <c r="D45"/>
  <c r="D35"/>
  <c r="H70"/>
  <c r="H71"/>
  <c r="H72"/>
  <c r="E20" i="21"/>
  <c r="H73" i="16"/>
  <c r="H69"/>
  <c r="E27" i="21"/>
  <c r="H75" i="16"/>
  <c r="E28" i="21"/>
  <c r="H76" i="16"/>
  <c r="H74"/>
  <c r="H78"/>
  <c r="E38" i="21"/>
  <c r="H79" i="16"/>
  <c r="H80"/>
  <c r="H82"/>
  <c r="H81"/>
  <c r="H77"/>
  <c r="E49" i="21"/>
  <c r="H84" i="16"/>
  <c r="H85"/>
  <c r="H86"/>
  <c r="E52" i="21"/>
  <c r="H87" i="16"/>
  <c r="H83"/>
  <c r="H68"/>
  <c r="E19" i="18"/>
  <c r="E20"/>
  <c r="E21"/>
  <c r="H57" i="16"/>
  <c r="E22" i="18"/>
  <c r="E23"/>
  <c r="H58" i="16"/>
  <c r="H59"/>
  <c r="E26" i="18"/>
  <c r="H60" i="16"/>
  <c r="H56"/>
  <c r="E34" i="18"/>
  <c r="H62" i="16"/>
  <c r="H61"/>
  <c r="E46" i="18"/>
  <c r="E47"/>
  <c r="E48"/>
  <c r="H64" i="16"/>
  <c r="E49" i="18"/>
  <c r="H65" i="16"/>
  <c r="E51" i="18"/>
  <c r="H66" i="16"/>
  <c r="H67"/>
  <c r="H63"/>
  <c r="H55"/>
  <c r="E7" i="17"/>
  <c r="H26" i="16"/>
  <c r="E8" i="17"/>
  <c r="H27" i="16"/>
  <c r="H25"/>
  <c r="E16" i="17"/>
  <c r="H29" i="16"/>
  <c r="H28"/>
  <c r="H31"/>
  <c r="H32"/>
  <c r="E28" i="17"/>
  <c r="E29"/>
  <c r="H33" i="16"/>
  <c r="H34"/>
  <c r="H30"/>
  <c r="H24"/>
  <c r="E7" i="19"/>
  <c r="H7" i="16"/>
  <c r="E8" i="19"/>
  <c r="E9"/>
  <c r="H8" i="16"/>
  <c r="H9"/>
  <c r="H10"/>
  <c r="H11"/>
  <c r="H6"/>
  <c r="E21" i="19"/>
  <c r="H13" i="16"/>
  <c r="H14"/>
  <c r="H12"/>
  <c r="H16"/>
  <c r="E32" i="19"/>
  <c r="H17" i="16"/>
  <c r="H18"/>
  <c r="E35" i="19"/>
  <c r="H19" i="16"/>
  <c r="E36" i="19"/>
  <c r="E38"/>
  <c r="H20" i="16"/>
  <c r="E39" i="19"/>
  <c r="H21" i="16"/>
  <c r="E40" i="19"/>
  <c r="H22" i="16"/>
  <c r="H23"/>
  <c r="H15"/>
  <c r="H5"/>
  <c r="H4"/>
  <c r="D70"/>
  <c r="D71"/>
  <c r="D72"/>
  <c r="D73"/>
  <c r="D69"/>
  <c r="D75"/>
  <c r="D76"/>
  <c r="D74"/>
  <c r="D78"/>
  <c r="D79"/>
  <c r="D80"/>
  <c r="D81"/>
  <c r="D82"/>
  <c r="D77"/>
  <c r="D84"/>
  <c r="D85"/>
  <c r="D86"/>
  <c r="D87"/>
  <c r="D83"/>
  <c r="D68"/>
  <c r="D57"/>
  <c r="D58"/>
  <c r="D59"/>
  <c r="D60"/>
  <c r="D56"/>
  <c r="D62"/>
  <c r="D61"/>
  <c r="D64"/>
  <c r="D65"/>
  <c r="D66"/>
  <c r="D67"/>
  <c r="D63"/>
  <c r="D55"/>
  <c r="D26"/>
  <c r="D27"/>
  <c r="D25"/>
  <c r="D29"/>
  <c r="D28"/>
  <c r="D31"/>
  <c r="D32"/>
  <c r="D33"/>
  <c r="D34"/>
  <c r="D30"/>
  <c r="D24"/>
  <c r="D7"/>
  <c r="D8"/>
  <c r="D9"/>
  <c r="D10"/>
  <c r="E12" i="19"/>
  <c r="E13"/>
  <c r="D11" i="16"/>
  <c r="D6"/>
  <c r="D13"/>
  <c r="D14"/>
  <c r="D12"/>
  <c r="D16"/>
  <c r="D17"/>
  <c r="D18"/>
  <c r="D19"/>
  <c r="D20"/>
  <c r="D21"/>
  <c r="D22"/>
  <c r="D23"/>
  <c r="D15"/>
  <c r="D5"/>
  <c r="D4"/>
  <c r="C19" i="18"/>
  <c r="E51" i="11"/>
  <c r="C41" i="21"/>
  <c r="B48" i="18"/>
  <c r="B47"/>
  <c r="B45"/>
  <c r="B44"/>
  <c r="B21"/>
  <c r="N64" i="16"/>
  <c r="N46"/>
  <c r="N47"/>
  <c r="N48"/>
  <c r="N49"/>
  <c r="F82"/>
  <c r="L53" i="33"/>
  <c r="O53"/>
  <c r="L43"/>
  <c r="O43"/>
  <c r="L38"/>
  <c r="O38"/>
  <c r="L34"/>
  <c r="O34"/>
  <c r="L26"/>
  <c r="O26"/>
  <c r="L23"/>
  <c r="O23"/>
  <c r="L22"/>
  <c r="O22"/>
  <c r="L13"/>
  <c r="O13"/>
  <c r="L10"/>
  <c r="O10"/>
  <c r="Q81"/>
  <c r="Q75"/>
  <c r="Q72"/>
  <c r="Q67"/>
  <c r="Q66"/>
  <c r="Q62"/>
  <c r="Q61"/>
  <c r="Q53"/>
  <c r="Q48"/>
  <c r="Q46"/>
  <c r="Q45"/>
  <c r="Q43"/>
  <c r="Q38"/>
  <c r="Q36"/>
  <c r="Q35"/>
  <c r="Q34"/>
  <c r="Q33"/>
  <c r="Q22"/>
  <c r="Q4"/>
  <c r="Q3"/>
  <c r="B46" i="18"/>
  <c r="B24"/>
  <c r="B23"/>
  <c r="B20"/>
  <c r="B38" i="11"/>
  <c r="B39"/>
  <c r="B14"/>
  <c r="B12"/>
  <c r="I82" i="16"/>
  <c r="J82"/>
  <c r="K82"/>
  <c r="L82"/>
  <c r="M82"/>
  <c r="G82"/>
  <c r="K62" i="33"/>
  <c r="AV67" i="30"/>
  <c r="AV72"/>
  <c r="AV75"/>
  <c r="AV81"/>
  <c r="AV66"/>
  <c r="AV54"/>
  <c r="AV61"/>
  <c r="AV53"/>
  <c r="AV34"/>
  <c r="AV38"/>
  <c r="AV43"/>
  <c r="AV48"/>
  <c r="AV33"/>
  <c r="AV23"/>
  <c r="AV26"/>
  <c r="AV28"/>
  <c r="AV22"/>
  <c r="AV4"/>
  <c r="AV10"/>
  <c r="AV13"/>
  <c r="AV3"/>
  <c r="AV87"/>
  <c r="N4" i="16"/>
  <c r="N87"/>
  <c r="N86"/>
  <c r="N85"/>
  <c r="N84"/>
  <c r="N83"/>
  <c r="N82"/>
  <c r="N81"/>
  <c r="N80"/>
  <c r="N79"/>
  <c r="N78"/>
  <c r="N77"/>
  <c r="N76"/>
  <c r="N75"/>
  <c r="N74"/>
  <c r="N73"/>
  <c r="N72"/>
  <c r="N71"/>
  <c r="N70"/>
  <c r="N69"/>
  <c r="N68"/>
  <c r="N67"/>
  <c r="N66"/>
  <c r="N65"/>
  <c r="N63"/>
  <c r="N62"/>
  <c r="AV59" i="30"/>
  <c r="N61" i="16"/>
  <c r="N60"/>
  <c r="N59"/>
  <c r="N58"/>
  <c r="N57"/>
  <c r="N56"/>
  <c r="N55"/>
  <c r="N54"/>
  <c r="N53"/>
  <c r="N52"/>
  <c r="N51"/>
  <c r="N50"/>
  <c r="N45"/>
  <c r="N44"/>
  <c r="N43"/>
  <c r="N42"/>
  <c r="N41"/>
  <c r="N40"/>
  <c r="N39"/>
  <c r="N38"/>
  <c r="N37"/>
  <c r="N36"/>
  <c r="N35"/>
  <c r="N34"/>
  <c r="N33"/>
  <c r="N32"/>
  <c r="N31"/>
  <c r="N30"/>
  <c r="N29"/>
  <c r="N28"/>
  <c r="N27"/>
  <c r="N26"/>
  <c r="N25"/>
  <c r="N24"/>
  <c r="N23"/>
  <c r="N22"/>
  <c r="N21"/>
  <c r="N20"/>
  <c r="N19"/>
  <c r="N18"/>
  <c r="N17"/>
  <c r="N16"/>
  <c r="N15"/>
  <c r="N14"/>
  <c r="N13"/>
  <c r="N12"/>
  <c r="N10"/>
  <c r="N9"/>
  <c r="N8"/>
  <c r="N7"/>
  <c r="N5"/>
  <c r="Q87" i="33"/>
  <c r="L75"/>
  <c r="M23"/>
  <c r="N23"/>
  <c r="L81"/>
  <c r="M81"/>
  <c r="N81"/>
  <c r="L3"/>
  <c r="O3"/>
  <c r="L4"/>
  <c r="L33"/>
  <c r="O33"/>
  <c r="L48"/>
  <c r="L72"/>
  <c r="O72"/>
  <c r="M13"/>
  <c r="N13"/>
  <c r="M26"/>
  <c r="N26"/>
  <c r="M34"/>
  <c r="N34"/>
  <c r="L61"/>
  <c r="H87"/>
  <c r="O81"/>
  <c r="M38"/>
  <c r="N38"/>
  <c r="L59"/>
  <c r="F87"/>
  <c r="J87"/>
  <c r="L67"/>
  <c r="E87"/>
  <c r="G87"/>
  <c r="I87"/>
  <c r="M48"/>
  <c r="N48"/>
  <c r="O48"/>
  <c r="M4"/>
  <c r="N4"/>
  <c r="O4"/>
  <c r="M72"/>
  <c r="N72"/>
  <c r="M3"/>
  <c r="N3"/>
  <c r="D87"/>
  <c r="M43"/>
  <c r="N43"/>
  <c r="M33"/>
  <c r="N33"/>
  <c r="M22"/>
  <c r="N22"/>
  <c r="M75"/>
  <c r="N75"/>
  <c r="O75"/>
  <c r="L54"/>
  <c r="M10"/>
  <c r="N10"/>
  <c r="O59"/>
  <c r="M59"/>
  <c r="N59"/>
  <c r="O61"/>
  <c r="M61"/>
  <c r="N61"/>
  <c r="O67"/>
  <c r="M67"/>
  <c r="N67"/>
  <c r="C87"/>
  <c r="L66"/>
  <c r="O54"/>
  <c r="M54"/>
  <c r="N54"/>
  <c r="M53"/>
  <c r="N53"/>
  <c r="L87"/>
  <c r="O66"/>
  <c r="M66"/>
  <c r="N66"/>
  <c r="O87"/>
  <c r="M87"/>
  <c r="N87"/>
  <c r="C67" i="30"/>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W67"/>
  <c r="AX67"/>
  <c r="AY67"/>
  <c r="AZ67"/>
  <c r="BA67"/>
  <c r="BB67"/>
  <c r="BC67"/>
  <c r="BD67"/>
  <c r="BE67"/>
  <c r="BF67"/>
  <c r="BG67"/>
  <c r="BH67"/>
  <c r="BI67"/>
  <c r="BJ67"/>
  <c r="BK67"/>
  <c r="BL67"/>
  <c r="BM67"/>
  <c r="BN67"/>
  <c r="BO67"/>
  <c r="BP67"/>
  <c r="BQ67"/>
  <c r="BR67"/>
  <c r="BS67"/>
  <c r="BT67"/>
  <c r="BT72"/>
  <c r="BT75"/>
  <c r="BT81"/>
  <c r="BT66"/>
  <c r="BU67"/>
  <c r="BU72"/>
  <c r="BU75"/>
  <c r="BU81"/>
  <c r="BU66"/>
  <c r="BV67"/>
  <c r="BV72"/>
  <c r="BV75"/>
  <c r="BV81"/>
  <c r="BV66"/>
  <c r="BW67"/>
  <c r="BW72"/>
  <c r="BW75"/>
  <c r="BW81"/>
  <c r="BW66"/>
  <c r="BX67"/>
  <c r="BX72"/>
  <c r="BX75"/>
  <c r="BX81"/>
  <c r="BX66"/>
  <c r="BY67"/>
  <c r="BY72"/>
  <c r="BY75"/>
  <c r="BY81"/>
  <c r="BY66"/>
  <c r="BZ67"/>
  <c r="BZ72"/>
  <c r="BZ75"/>
  <c r="BZ81"/>
  <c r="BZ66"/>
  <c r="CA67"/>
  <c r="CA72"/>
  <c r="CA75"/>
  <c r="CA81"/>
  <c r="CA66"/>
  <c r="CB67"/>
  <c r="CB72"/>
  <c r="CB75"/>
  <c r="CB81"/>
  <c r="CB66"/>
  <c r="CC67"/>
  <c r="CC72"/>
  <c r="CC75"/>
  <c r="CC81"/>
  <c r="CC66"/>
  <c r="CD67"/>
  <c r="CD72"/>
  <c r="CD75"/>
  <c r="CD81"/>
  <c r="CD66"/>
  <c r="CE67"/>
  <c r="CE72"/>
  <c r="CE75"/>
  <c r="CE81"/>
  <c r="CE66"/>
  <c r="CF67"/>
  <c r="CF72"/>
  <c r="CF75"/>
  <c r="CF81"/>
  <c r="CF66"/>
  <c r="CG67"/>
  <c r="CG72"/>
  <c r="CG75"/>
  <c r="CG81"/>
  <c r="CG66"/>
  <c r="CH67"/>
  <c r="CH72"/>
  <c r="CH75"/>
  <c r="CH81"/>
  <c r="CH66"/>
  <c r="CI67"/>
  <c r="CI72"/>
  <c r="CI75"/>
  <c r="CI81"/>
  <c r="CI66"/>
  <c r="CJ67"/>
  <c r="CJ72"/>
  <c r="CJ75"/>
  <c r="CJ81"/>
  <c r="CJ66"/>
  <c r="CK67"/>
  <c r="CK72"/>
  <c r="CK75"/>
  <c r="CK81"/>
  <c r="CK66"/>
  <c r="CL67"/>
  <c r="CL72"/>
  <c r="CL75"/>
  <c r="CL81"/>
  <c r="CL66"/>
  <c r="CM67"/>
  <c r="CM72"/>
  <c r="CM75"/>
  <c r="CM81"/>
  <c r="CM66"/>
  <c r="CN67"/>
  <c r="CN72"/>
  <c r="CN75"/>
  <c r="CN81"/>
  <c r="CN66"/>
  <c r="CO67"/>
  <c r="CO72"/>
  <c r="CO75"/>
  <c r="CO81"/>
  <c r="CO66"/>
  <c r="CP67"/>
  <c r="CP72"/>
  <c r="CP75"/>
  <c r="CP81"/>
  <c r="CP66"/>
  <c r="CQ67"/>
  <c r="CQ72"/>
  <c r="CQ75"/>
  <c r="CQ81"/>
  <c r="CQ66"/>
  <c r="CR67"/>
  <c r="CR72"/>
  <c r="CR75"/>
  <c r="CR81"/>
  <c r="CR66"/>
  <c r="CS67"/>
  <c r="CS72"/>
  <c r="CS75"/>
  <c r="CS81"/>
  <c r="CS66"/>
  <c r="CT67"/>
  <c r="CT72"/>
  <c r="CT75"/>
  <c r="CT81"/>
  <c r="CT66"/>
  <c r="CU67"/>
  <c r="CU72"/>
  <c r="CU75"/>
  <c r="CU81"/>
  <c r="CU66"/>
  <c r="CV67"/>
  <c r="CV72"/>
  <c r="CV75"/>
  <c r="CV81"/>
  <c r="CV66"/>
  <c r="CW67"/>
  <c r="CW72"/>
  <c r="CW75"/>
  <c r="CW81"/>
  <c r="CW66"/>
  <c r="CX67"/>
  <c r="CX72"/>
  <c r="CX75"/>
  <c r="CX81"/>
  <c r="CX66"/>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W72"/>
  <c r="AX72"/>
  <c r="AY72"/>
  <c r="AZ72"/>
  <c r="BA72"/>
  <c r="BB72"/>
  <c r="BC72"/>
  <c r="BD72"/>
  <c r="BE72"/>
  <c r="BF72"/>
  <c r="BG72"/>
  <c r="BH72"/>
  <c r="BI72"/>
  <c r="BJ72"/>
  <c r="BK72"/>
  <c r="BL72"/>
  <c r="BM72"/>
  <c r="BN72"/>
  <c r="BO72"/>
  <c r="BP72"/>
  <c r="BQ72"/>
  <c r="BR72"/>
  <c r="BS72"/>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W75"/>
  <c r="AX75"/>
  <c r="AY75"/>
  <c r="AZ75"/>
  <c r="BA75"/>
  <c r="BB75"/>
  <c r="BC75"/>
  <c r="BD75"/>
  <c r="BE75"/>
  <c r="BF75"/>
  <c r="BG75"/>
  <c r="BH75"/>
  <c r="BI75"/>
  <c r="BJ75"/>
  <c r="BK75"/>
  <c r="BL75"/>
  <c r="BM75"/>
  <c r="BN75"/>
  <c r="BO75"/>
  <c r="BP75"/>
  <c r="BQ75"/>
  <c r="BR75"/>
  <c r="BS7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W81"/>
  <c r="AX81"/>
  <c r="AY81"/>
  <c r="AZ81"/>
  <c r="BA81"/>
  <c r="BB81"/>
  <c r="BC81"/>
  <c r="BD81"/>
  <c r="BE81"/>
  <c r="BF81"/>
  <c r="BG81"/>
  <c r="BH81"/>
  <c r="BI81"/>
  <c r="BJ81"/>
  <c r="BK81"/>
  <c r="BL81"/>
  <c r="BM81"/>
  <c r="BN81"/>
  <c r="BO81"/>
  <c r="BP81"/>
  <c r="BQ81"/>
  <c r="BR81"/>
  <c r="BS81"/>
  <c r="CY81"/>
  <c r="CZ81"/>
  <c r="B67"/>
  <c r="B72"/>
  <c r="B75"/>
  <c r="B81"/>
  <c r="B66"/>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W54"/>
  <c r="AX54"/>
  <c r="AY54"/>
  <c r="AZ54"/>
  <c r="BA54"/>
  <c r="BB54"/>
  <c r="BC54"/>
  <c r="BD54"/>
  <c r="BE54"/>
  <c r="BF54"/>
  <c r="BG54"/>
  <c r="BH54"/>
  <c r="BI54"/>
  <c r="BJ54"/>
  <c r="BK54"/>
  <c r="BL54"/>
  <c r="BM54"/>
  <c r="BN54"/>
  <c r="BO54"/>
  <c r="BO61"/>
  <c r="BO53"/>
  <c r="BP54"/>
  <c r="BQ54"/>
  <c r="BQ61"/>
  <c r="BQ53"/>
  <c r="BR54"/>
  <c r="BS54"/>
  <c r="BS61"/>
  <c r="BS53"/>
  <c r="BT54"/>
  <c r="BT61"/>
  <c r="BT53"/>
  <c r="BU54"/>
  <c r="BU61"/>
  <c r="BU53"/>
  <c r="BV54"/>
  <c r="BV61"/>
  <c r="BV53"/>
  <c r="BW54"/>
  <c r="BW61"/>
  <c r="BW53"/>
  <c r="BX54"/>
  <c r="BX61"/>
  <c r="BX53"/>
  <c r="BY54"/>
  <c r="BY61"/>
  <c r="BY53"/>
  <c r="BZ54"/>
  <c r="BZ61"/>
  <c r="BZ53"/>
  <c r="CA54"/>
  <c r="CA61"/>
  <c r="CA53"/>
  <c r="CB54"/>
  <c r="CB61"/>
  <c r="CB53"/>
  <c r="CC54"/>
  <c r="CC61"/>
  <c r="CC53"/>
  <c r="CD54"/>
  <c r="CD61"/>
  <c r="CD53"/>
  <c r="CE54"/>
  <c r="CE61"/>
  <c r="CE53"/>
  <c r="CF54"/>
  <c r="CF61"/>
  <c r="CF53"/>
  <c r="CG54"/>
  <c r="CG61"/>
  <c r="CG53"/>
  <c r="CH54"/>
  <c r="CH61"/>
  <c r="CH53"/>
  <c r="CI54"/>
  <c r="CI61"/>
  <c r="CI53"/>
  <c r="CJ54"/>
  <c r="CJ61"/>
  <c r="CJ53"/>
  <c r="CK54"/>
  <c r="CK61"/>
  <c r="CK53"/>
  <c r="CL54"/>
  <c r="CL61"/>
  <c r="CL53"/>
  <c r="CM54"/>
  <c r="CM61"/>
  <c r="CM53"/>
  <c r="CN54"/>
  <c r="CN61"/>
  <c r="CN53"/>
  <c r="CO54"/>
  <c r="CO61"/>
  <c r="CO53"/>
  <c r="CP54"/>
  <c r="CP61"/>
  <c r="CP53"/>
  <c r="CQ54"/>
  <c r="CQ61"/>
  <c r="CQ53"/>
  <c r="CR54"/>
  <c r="CR61"/>
  <c r="CR53"/>
  <c r="CS54"/>
  <c r="CS61"/>
  <c r="CS53"/>
  <c r="CT54"/>
  <c r="CT61"/>
  <c r="CT53"/>
  <c r="CU54"/>
  <c r="CU61"/>
  <c r="CU53"/>
  <c r="CV54"/>
  <c r="CV61"/>
  <c r="CV53"/>
  <c r="CW54"/>
  <c r="CW61"/>
  <c r="CW53"/>
  <c r="CX54"/>
  <c r="CX61"/>
  <c r="CX53"/>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W61"/>
  <c r="AX61"/>
  <c r="AY61"/>
  <c r="AZ61"/>
  <c r="BA61"/>
  <c r="BB61"/>
  <c r="BC61"/>
  <c r="BD61"/>
  <c r="BE61"/>
  <c r="BF61"/>
  <c r="BG61"/>
  <c r="BH61"/>
  <c r="BI61"/>
  <c r="BJ61"/>
  <c r="BK61"/>
  <c r="BL61"/>
  <c r="BM61"/>
  <c r="BN61"/>
  <c r="BP61"/>
  <c r="BR61"/>
  <c r="B54"/>
  <c r="B61"/>
  <c r="B53"/>
  <c r="B59"/>
  <c r="C34"/>
  <c r="C38"/>
  <c r="C43"/>
  <c r="C48"/>
  <c r="C33"/>
  <c r="D34"/>
  <c r="D38"/>
  <c r="D43"/>
  <c r="D48"/>
  <c r="D33"/>
  <c r="E34"/>
  <c r="E38"/>
  <c r="E43"/>
  <c r="E48"/>
  <c r="E33"/>
  <c r="F34"/>
  <c r="F38"/>
  <c r="F43"/>
  <c r="F48"/>
  <c r="F33"/>
  <c r="G34"/>
  <c r="G38"/>
  <c r="G43"/>
  <c r="G48"/>
  <c r="G33"/>
  <c r="H34"/>
  <c r="H38"/>
  <c r="H43"/>
  <c r="H48"/>
  <c r="H33"/>
  <c r="I34"/>
  <c r="I38"/>
  <c r="I43"/>
  <c r="I48"/>
  <c r="I33"/>
  <c r="J34"/>
  <c r="J38"/>
  <c r="J43"/>
  <c r="J48"/>
  <c r="J33"/>
  <c r="K34"/>
  <c r="K38"/>
  <c r="K43"/>
  <c r="K48"/>
  <c r="K33"/>
  <c r="L34"/>
  <c r="L38"/>
  <c r="L43"/>
  <c r="L48"/>
  <c r="L33"/>
  <c r="M34"/>
  <c r="M38"/>
  <c r="M43"/>
  <c r="M48"/>
  <c r="M33"/>
  <c r="N34"/>
  <c r="N38"/>
  <c r="N43"/>
  <c r="N48"/>
  <c r="N33"/>
  <c r="O34"/>
  <c r="O38"/>
  <c r="O43"/>
  <c r="O48"/>
  <c r="O33"/>
  <c r="P34"/>
  <c r="P38"/>
  <c r="P43"/>
  <c r="P48"/>
  <c r="P33"/>
  <c r="Q34"/>
  <c r="Q38"/>
  <c r="Q43"/>
  <c r="Q48"/>
  <c r="Q33"/>
  <c r="R34"/>
  <c r="R38"/>
  <c r="R43"/>
  <c r="R48"/>
  <c r="R33"/>
  <c r="S34"/>
  <c r="S38"/>
  <c r="S43"/>
  <c r="S48"/>
  <c r="S33"/>
  <c r="T34"/>
  <c r="T38"/>
  <c r="T43"/>
  <c r="T48"/>
  <c r="T33"/>
  <c r="U34"/>
  <c r="U38"/>
  <c r="U43"/>
  <c r="U48"/>
  <c r="U33"/>
  <c r="V34"/>
  <c r="V38"/>
  <c r="V43"/>
  <c r="V48"/>
  <c r="V33"/>
  <c r="W34"/>
  <c r="W38"/>
  <c r="W43"/>
  <c r="W48"/>
  <c r="W33"/>
  <c r="X34"/>
  <c r="X38"/>
  <c r="X43"/>
  <c r="X48"/>
  <c r="X33"/>
  <c r="Y34"/>
  <c r="Y38"/>
  <c r="Y43"/>
  <c r="Y48"/>
  <c r="Y33"/>
  <c r="Z34"/>
  <c r="Z38"/>
  <c r="Z43"/>
  <c r="Z48"/>
  <c r="Z33"/>
  <c r="AA34"/>
  <c r="AA38"/>
  <c r="AA43"/>
  <c r="AA48"/>
  <c r="AA33"/>
  <c r="AB34"/>
  <c r="AB38"/>
  <c r="AB43"/>
  <c r="AB48"/>
  <c r="AB33"/>
  <c r="AC34"/>
  <c r="AC38"/>
  <c r="AC43"/>
  <c r="AC48"/>
  <c r="AC33"/>
  <c r="AD34"/>
  <c r="AD38"/>
  <c r="AD43"/>
  <c r="AD48"/>
  <c r="AD33"/>
  <c r="AE34"/>
  <c r="AE38"/>
  <c r="AE43"/>
  <c r="AE48"/>
  <c r="AE33"/>
  <c r="AF34"/>
  <c r="AF38"/>
  <c r="AF43"/>
  <c r="AF48"/>
  <c r="AF33"/>
  <c r="AG34"/>
  <c r="AG38"/>
  <c r="AG43"/>
  <c r="AG48"/>
  <c r="AG33"/>
  <c r="AH34"/>
  <c r="AH38"/>
  <c r="AH43"/>
  <c r="AH48"/>
  <c r="AH33"/>
  <c r="AI34"/>
  <c r="AI38"/>
  <c r="AI43"/>
  <c r="AI48"/>
  <c r="AI33"/>
  <c r="AJ34"/>
  <c r="AJ38"/>
  <c r="AJ43"/>
  <c r="AJ48"/>
  <c r="AJ33"/>
  <c r="AK34"/>
  <c r="AK38"/>
  <c r="AK43"/>
  <c r="AK48"/>
  <c r="AK33"/>
  <c r="AL34"/>
  <c r="AL38"/>
  <c r="AL43"/>
  <c r="AL48"/>
  <c r="AL33"/>
  <c r="AM34"/>
  <c r="AM38"/>
  <c r="AM43"/>
  <c r="AM48"/>
  <c r="AM33"/>
  <c r="AN34"/>
  <c r="AN38"/>
  <c r="AN43"/>
  <c r="AN48"/>
  <c r="AN33"/>
  <c r="AO34"/>
  <c r="AO38"/>
  <c r="AO43"/>
  <c r="AO48"/>
  <c r="AO33"/>
  <c r="AP34"/>
  <c r="AP38"/>
  <c r="AP43"/>
  <c r="AP48"/>
  <c r="AP33"/>
  <c r="AQ34"/>
  <c r="AQ38"/>
  <c r="AQ43"/>
  <c r="AQ48"/>
  <c r="AQ33"/>
  <c r="AR34"/>
  <c r="AR38"/>
  <c r="AR43"/>
  <c r="AR48"/>
  <c r="AR33"/>
  <c r="AS34"/>
  <c r="AS38"/>
  <c r="AS43"/>
  <c r="AS48"/>
  <c r="AS33"/>
  <c r="AT34"/>
  <c r="AT38"/>
  <c r="AT43"/>
  <c r="AT48"/>
  <c r="AT33"/>
  <c r="AU34"/>
  <c r="AU38"/>
  <c r="AU43"/>
  <c r="AU48"/>
  <c r="AU33"/>
  <c r="AW34"/>
  <c r="AW38"/>
  <c r="AW43"/>
  <c r="AW48"/>
  <c r="AW33"/>
  <c r="AX34"/>
  <c r="AX38"/>
  <c r="AX43"/>
  <c r="AX48"/>
  <c r="AX33"/>
  <c r="AY34"/>
  <c r="AY38"/>
  <c r="AY43"/>
  <c r="AY48"/>
  <c r="AY33"/>
  <c r="AZ34"/>
  <c r="AZ38"/>
  <c r="AZ43"/>
  <c r="AZ48"/>
  <c r="AZ33"/>
  <c r="BA34"/>
  <c r="BA38"/>
  <c r="BA43"/>
  <c r="BA48"/>
  <c r="BA33"/>
  <c r="BB34"/>
  <c r="BB38"/>
  <c r="BB43"/>
  <c r="BB48"/>
  <c r="BB33"/>
  <c r="BC34"/>
  <c r="BC38"/>
  <c r="BC43"/>
  <c r="BC48"/>
  <c r="BC33"/>
  <c r="BD34"/>
  <c r="BD38"/>
  <c r="BD43"/>
  <c r="BD48"/>
  <c r="BD33"/>
  <c r="BE34"/>
  <c r="BE38"/>
  <c r="BE43"/>
  <c r="BE48"/>
  <c r="BE33"/>
  <c r="BF34"/>
  <c r="BF38"/>
  <c r="BF43"/>
  <c r="BF48"/>
  <c r="BF33"/>
  <c r="BG34"/>
  <c r="BG38"/>
  <c r="BG43"/>
  <c r="BG48"/>
  <c r="BG33"/>
  <c r="BH34"/>
  <c r="BH38"/>
  <c r="BH43"/>
  <c r="BH48"/>
  <c r="BH33"/>
  <c r="BI34"/>
  <c r="BI38"/>
  <c r="BI43"/>
  <c r="BI48"/>
  <c r="BI33"/>
  <c r="BJ34"/>
  <c r="BJ38"/>
  <c r="BJ43"/>
  <c r="BJ48"/>
  <c r="BJ33"/>
  <c r="BK34"/>
  <c r="BK38"/>
  <c r="BK43"/>
  <c r="BK48"/>
  <c r="BK33"/>
  <c r="BL34"/>
  <c r="BL38"/>
  <c r="BL43"/>
  <c r="BL48"/>
  <c r="BL33"/>
  <c r="BM34"/>
  <c r="BM38"/>
  <c r="BM43"/>
  <c r="BM48"/>
  <c r="BM33"/>
  <c r="BN34"/>
  <c r="BN38"/>
  <c r="BN43"/>
  <c r="BN48"/>
  <c r="BN33"/>
  <c r="BO34"/>
  <c r="BO38"/>
  <c r="BO43"/>
  <c r="BO48"/>
  <c r="BO33"/>
  <c r="BP34"/>
  <c r="BP38"/>
  <c r="BP43"/>
  <c r="BP48"/>
  <c r="BP33"/>
  <c r="BQ34"/>
  <c r="BQ38"/>
  <c r="BQ43"/>
  <c r="BQ48"/>
  <c r="BQ33"/>
  <c r="BR34"/>
  <c r="BR38"/>
  <c r="BR43"/>
  <c r="BR48"/>
  <c r="BR33"/>
  <c r="BS34"/>
  <c r="BS38"/>
  <c r="BS43"/>
  <c r="BS48"/>
  <c r="BS33"/>
  <c r="BT34"/>
  <c r="BT38"/>
  <c r="BT43"/>
  <c r="BT48"/>
  <c r="BT33"/>
  <c r="BU34"/>
  <c r="BU38"/>
  <c r="BU43"/>
  <c r="BU48"/>
  <c r="BU33"/>
  <c r="BV34"/>
  <c r="BV38"/>
  <c r="BV43"/>
  <c r="BV48"/>
  <c r="BV33"/>
  <c r="BW34"/>
  <c r="BW38"/>
  <c r="BW43"/>
  <c r="BW48"/>
  <c r="BW33"/>
  <c r="BX34"/>
  <c r="BX38"/>
  <c r="BX43"/>
  <c r="BX48"/>
  <c r="BX33"/>
  <c r="BY34"/>
  <c r="BY38"/>
  <c r="BY43"/>
  <c r="BY48"/>
  <c r="BY33"/>
  <c r="BZ34"/>
  <c r="BZ38"/>
  <c r="BZ43"/>
  <c r="BZ48"/>
  <c r="BZ33"/>
  <c r="CA34"/>
  <c r="CA38"/>
  <c r="CA43"/>
  <c r="CA48"/>
  <c r="CA33"/>
  <c r="CB34"/>
  <c r="CB38"/>
  <c r="CB43"/>
  <c r="CB48"/>
  <c r="CB33"/>
  <c r="CC34"/>
  <c r="CC38"/>
  <c r="CC43"/>
  <c r="CC48"/>
  <c r="CC33"/>
  <c r="CD34"/>
  <c r="CD38"/>
  <c r="CD43"/>
  <c r="CD48"/>
  <c r="CD33"/>
  <c r="CE34"/>
  <c r="CE38"/>
  <c r="CE43"/>
  <c r="CE48"/>
  <c r="CE33"/>
  <c r="CF34"/>
  <c r="CF38"/>
  <c r="CF43"/>
  <c r="CF48"/>
  <c r="CF33"/>
  <c r="CG34"/>
  <c r="CG38"/>
  <c r="CG43"/>
  <c r="CG48"/>
  <c r="CG33"/>
  <c r="CH34"/>
  <c r="CH38"/>
  <c r="CH43"/>
  <c r="CH48"/>
  <c r="CH33"/>
  <c r="CI34"/>
  <c r="CI38"/>
  <c r="CI43"/>
  <c r="CI48"/>
  <c r="CI33"/>
  <c r="CJ34"/>
  <c r="CJ38"/>
  <c r="CJ43"/>
  <c r="CJ48"/>
  <c r="CJ33"/>
  <c r="CK34"/>
  <c r="CK38"/>
  <c r="CK43"/>
  <c r="CK48"/>
  <c r="CK33"/>
  <c r="CL34"/>
  <c r="CL38"/>
  <c r="CL43"/>
  <c r="CL48"/>
  <c r="CL33"/>
  <c r="CM34"/>
  <c r="CM38"/>
  <c r="CM43"/>
  <c r="CM48"/>
  <c r="CM33"/>
  <c r="CN34"/>
  <c r="CN38"/>
  <c r="CN43"/>
  <c r="CN48"/>
  <c r="CN33"/>
  <c r="CO34"/>
  <c r="CO38"/>
  <c r="CO43"/>
  <c r="CO48"/>
  <c r="CO33"/>
  <c r="CP34"/>
  <c r="CP38"/>
  <c r="CP43"/>
  <c r="CP48"/>
  <c r="CP33"/>
  <c r="CQ34"/>
  <c r="CQ38"/>
  <c r="CQ43"/>
  <c r="CQ48"/>
  <c r="CQ33"/>
  <c r="CR34"/>
  <c r="CR38"/>
  <c r="CR43"/>
  <c r="CR48"/>
  <c r="CR33"/>
  <c r="CS34"/>
  <c r="CS38"/>
  <c r="CS43"/>
  <c r="CS48"/>
  <c r="CS33"/>
  <c r="CT34"/>
  <c r="CT38"/>
  <c r="CT43"/>
  <c r="CT48"/>
  <c r="CT33"/>
  <c r="CU34"/>
  <c r="CU38"/>
  <c r="CU43"/>
  <c r="CU48"/>
  <c r="CU33"/>
  <c r="CV34"/>
  <c r="CV38"/>
  <c r="CV43"/>
  <c r="CV48"/>
  <c r="CV33"/>
  <c r="CW34"/>
  <c r="CW38"/>
  <c r="CW43"/>
  <c r="CW48"/>
  <c r="CW33"/>
  <c r="CX34"/>
  <c r="CX38"/>
  <c r="CX43"/>
  <c r="CX48"/>
  <c r="CX33"/>
  <c r="CY34"/>
  <c r="CZ34"/>
  <c r="B34"/>
  <c r="B38"/>
  <c r="B43"/>
  <c r="B48"/>
  <c r="B33"/>
  <c r="C23"/>
  <c r="C26"/>
  <c r="C28"/>
  <c r="C22"/>
  <c r="D23"/>
  <c r="D26"/>
  <c r="D28"/>
  <c r="D22"/>
  <c r="E23"/>
  <c r="E26"/>
  <c r="E28"/>
  <c r="E22"/>
  <c r="F23"/>
  <c r="F26"/>
  <c r="F28"/>
  <c r="F22"/>
  <c r="G23"/>
  <c r="G26"/>
  <c r="G28"/>
  <c r="G22"/>
  <c r="H23"/>
  <c r="H26"/>
  <c r="H28"/>
  <c r="H22"/>
  <c r="I23"/>
  <c r="I26"/>
  <c r="I28"/>
  <c r="I22"/>
  <c r="J23"/>
  <c r="J26"/>
  <c r="J28"/>
  <c r="J22"/>
  <c r="K23"/>
  <c r="K26"/>
  <c r="K28"/>
  <c r="K22"/>
  <c r="L23"/>
  <c r="L26"/>
  <c r="L28"/>
  <c r="L22"/>
  <c r="M23"/>
  <c r="M26"/>
  <c r="M28"/>
  <c r="M22"/>
  <c r="N23"/>
  <c r="N26"/>
  <c r="N28"/>
  <c r="N22"/>
  <c r="O23"/>
  <c r="O26"/>
  <c r="O28"/>
  <c r="O22"/>
  <c r="P23"/>
  <c r="P26"/>
  <c r="P28"/>
  <c r="P22"/>
  <c r="Q23"/>
  <c r="Q26"/>
  <c r="Q28"/>
  <c r="Q22"/>
  <c r="R23"/>
  <c r="R26"/>
  <c r="R28"/>
  <c r="R22"/>
  <c r="S23"/>
  <c r="S26"/>
  <c r="S28"/>
  <c r="S22"/>
  <c r="T23"/>
  <c r="T26"/>
  <c r="T28"/>
  <c r="T22"/>
  <c r="U23"/>
  <c r="U26"/>
  <c r="U28"/>
  <c r="U22"/>
  <c r="V23"/>
  <c r="V26"/>
  <c r="V28"/>
  <c r="V22"/>
  <c r="W23"/>
  <c r="W26"/>
  <c r="W28"/>
  <c r="W22"/>
  <c r="X23"/>
  <c r="X26"/>
  <c r="X28"/>
  <c r="X22"/>
  <c r="Y23"/>
  <c r="Y26"/>
  <c r="Y28"/>
  <c r="Y22"/>
  <c r="Z23"/>
  <c r="Z26"/>
  <c r="Z28"/>
  <c r="Z22"/>
  <c r="AA23"/>
  <c r="AA26"/>
  <c r="AA28"/>
  <c r="AA22"/>
  <c r="AB23"/>
  <c r="AB26"/>
  <c r="AB28"/>
  <c r="AB22"/>
  <c r="AC23"/>
  <c r="AC26"/>
  <c r="AC28"/>
  <c r="AC22"/>
  <c r="AD23"/>
  <c r="AD26"/>
  <c r="AD28"/>
  <c r="AD22"/>
  <c r="AE23"/>
  <c r="AE26"/>
  <c r="AE28"/>
  <c r="AE22"/>
  <c r="AF23"/>
  <c r="AF26"/>
  <c r="AF28"/>
  <c r="AF22"/>
  <c r="AG23"/>
  <c r="AG26"/>
  <c r="AG28"/>
  <c r="AG22"/>
  <c r="AH23"/>
  <c r="AH26"/>
  <c r="AH28"/>
  <c r="AH22"/>
  <c r="AI23"/>
  <c r="AI26"/>
  <c r="AI28"/>
  <c r="AI22"/>
  <c r="AJ23"/>
  <c r="AJ26"/>
  <c r="AJ28"/>
  <c r="AJ22"/>
  <c r="AK23"/>
  <c r="AK26"/>
  <c r="AK28"/>
  <c r="AK22"/>
  <c r="AL23"/>
  <c r="AL26"/>
  <c r="AL28"/>
  <c r="AL22"/>
  <c r="AM23"/>
  <c r="AM26"/>
  <c r="AM28"/>
  <c r="AM22"/>
  <c r="AN23"/>
  <c r="AN26"/>
  <c r="AN28"/>
  <c r="AN22"/>
  <c r="AO23"/>
  <c r="AO26"/>
  <c r="AO28"/>
  <c r="AO22"/>
  <c r="AP23"/>
  <c r="AP26"/>
  <c r="AP28"/>
  <c r="AP22"/>
  <c r="AQ23"/>
  <c r="AQ26"/>
  <c r="AQ28"/>
  <c r="AQ22"/>
  <c r="AR23"/>
  <c r="AR26"/>
  <c r="AR28"/>
  <c r="AR22"/>
  <c r="AS23"/>
  <c r="AS26"/>
  <c r="AS28"/>
  <c r="AS22"/>
  <c r="AT23"/>
  <c r="AT26"/>
  <c r="AT28"/>
  <c r="AT22"/>
  <c r="AU23"/>
  <c r="AU26"/>
  <c r="AU28"/>
  <c r="AU22"/>
  <c r="AW23"/>
  <c r="AW26"/>
  <c r="AW28"/>
  <c r="AW22"/>
  <c r="AX23"/>
  <c r="AX26"/>
  <c r="AX28"/>
  <c r="AX22"/>
  <c r="AY23"/>
  <c r="AY26"/>
  <c r="AY28"/>
  <c r="AY22"/>
  <c r="AZ23"/>
  <c r="AZ26"/>
  <c r="AZ28"/>
  <c r="AZ22"/>
  <c r="BA23"/>
  <c r="BA26"/>
  <c r="BA28"/>
  <c r="BA22"/>
  <c r="BB23"/>
  <c r="BB26"/>
  <c r="BB28"/>
  <c r="BB22"/>
  <c r="BC23"/>
  <c r="BC26"/>
  <c r="BC28"/>
  <c r="BC22"/>
  <c r="BD23"/>
  <c r="BD26"/>
  <c r="BD28"/>
  <c r="BD22"/>
  <c r="BE23"/>
  <c r="BE26"/>
  <c r="BE28"/>
  <c r="BE22"/>
  <c r="BF23"/>
  <c r="BF26"/>
  <c r="BF28"/>
  <c r="BF22"/>
  <c r="BG23"/>
  <c r="BG26"/>
  <c r="BG28"/>
  <c r="BG22"/>
  <c r="BH23"/>
  <c r="BH26"/>
  <c r="BH28"/>
  <c r="BH22"/>
  <c r="BI23"/>
  <c r="BI26"/>
  <c r="BI28"/>
  <c r="BI22"/>
  <c r="BJ23"/>
  <c r="BJ26"/>
  <c r="BJ28"/>
  <c r="BJ22"/>
  <c r="BK23"/>
  <c r="BK26"/>
  <c r="BK28"/>
  <c r="BK22"/>
  <c r="BL23"/>
  <c r="BL26"/>
  <c r="BL28"/>
  <c r="BL22"/>
  <c r="BM23"/>
  <c r="BM26"/>
  <c r="BM28"/>
  <c r="BM22"/>
  <c r="BN23"/>
  <c r="BN26"/>
  <c r="BN28"/>
  <c r="BN22"/>
  <c r="BO23"/>
  <c r="BO26"/>
  <c r="BO28"/>
  <c r="BO22"/>
  <c r="BP23"/>
  <c r="BP26"/>
  <c r="BP28"/>
  <c r="BP22"/>
  <c r="BQ23"/>
  <c r="BQ26"/>
  <c r="BQ28"/>
  <c r="BQ22"/>
  <c r="BR23"/>
  <c r="BR26"/>
  <c r="BR28"/>
  <c r="BR22"/>
  <c r="BS23"/>
  <c r="BS26"/>
  <c r="BS28"/>
  <c r="BS22"/>
  <c r="BT23"/>
  <c r="BT26"/>
  <c r="BT28"/>
  <c r="BT22"/>
  <c r="BU23"/>
  <c r="BU26"/>
  <c r="BU28"/>
  <c r="BU22"/>
  <c r="BV23"/>
  <c r="BV26"/>
  <c r="BV28"/>
  <c r="BV22"/>
  <c r="BW23"/>
  <c r="BW26"/>
  <c r="BW28"/>
  <c r="BW22"/>
  <c r="BX23"/>
  <c r="BX26"/>
  <c r="BX28"/>
  <c r="BX22"/>
  <c r="BY23"/>
  <c r="BY26"/>
  <c r="BY28"/>
  <c r="BY22"/>
  <c r="BZ23"/>
  <c r="BZ26"/>
  <c r="BZ28"/>
  <c r="BZ22"/>
  <c r="CA23"/>
  <c r="CB23"/>
  <c r="CB26"/>
  <c r="CB28"/>
  <c r="CB22"/>
  <c r="CC23"/>
  <c r="CD23"/>
  <c r="CD26"/>
  <c r="CD28"/>
  <c r="CD22"/>
  <c r="CE23"/>
  <c r="CF23"/>
  <c r="CF26"/>
  <c r="CF28"/>
  <c r="CF22"/>
  <c r="CG23"/>
  <c r="CH23"/>
  <c r="CH26"/>
  <c r="CH28"/>
  <c r="CH22"/>
  <c r="CI23"/>
  <c r="CJ23"/>
  <c r="CJ26"/>
  <c r="CJ28"/>
  <c r="CJ22"/>
  <c r="CK23"/>
  <c r="CL23"/>
  <c r="CL26"/>
  <c r="CL28"/>
  <c r="CL22"/>
  <c r="CM23"/>
  <c r="CN23"/>
  <c r="CN26"/>
  <c r="CN28"/>
  <c r="CN22"/>
  <c r="CO23"/>
  <c r="CP23"/>
  <c r="CP26"/>
  <c r="CP28"/>
  <c r="CP22"/>
  <c r="CQ23"/>
  <c r="CR23"/>
  <c r="CR26"/>
  <c r="CR28"/>
  <c r="CR22"/>
  <c r="CS23"/>
  <c r="CT23"/>
  <c r="CT26"/>
  <c r="CT28"/>
  <c r="CT22"/>
  <c r="CU23"/>
  <c r="CV23"/>
  <c r="CV26"/>
  <c r="CV28"/>
  <c r="CV22"/>
  <c r="CW23"/>
  <c r="CX23"/>
  <c r="CX26"/>
  <c r="CX28"/>
  <c r="CX22"/>
  <c r="CA26"/>
  <c r="CC26"/>
  <c r="CE26"/>
  <c r="CG26"/>
  <c r="CI26"/>
  <c r="CK26"/>
  <c r="CM26"/>
  <c r="CO26"/>
  <c r="CQ26"/>
  <c r="CS26"/>
  <c r="CU26"/>
  <c r="CW26"/>
  <c r="CA28"/>
  <c r="CC28"/>
  <c r="CE28"/>
  <c r="CG28"/>
  <c r="CI28"/>
  <c r="CK28"/>
  <c r="CM28"/>
  <c r="CO28"/>
  <c r="CQ28"/>
  <c r="CS28"/>
  <c r="CU28"/>
  <c r="CW28"/>
  <c r="B23"/>
  <c r="B26"/>
  <c r="B28"/>
  <c r="C4"/>
  <c r="D4"/>
  <c r="D10"/>
  <c r="D13"/>
  <c r="D3"/>
  <c r="E4"/>
  <c r="F4"/>
  <c r="F10"/>
  <c r="F13"/>
  <c r="F3"/>
  <c r="G4"/>
  <c r="H4"/>
  <c r="H10"/>
  <c r="H13"/>
  <c r="H3"/>
  <c r="I4"/>
  <c r="J4"/>
  <c r="J10"/>
  <c r="J13"/>
  <c r="J3"/>
  <c r="K4"/>
  <c r="K10"/>
  <c r="K13"/>
  <c r="K3"/>
  <c r="L4"/>
  <c r="L10"/>
  <c r="L13"/>
  <c r="L3"/>
  <c r="M4"/>
  <c r="M10"/>
  <c r="M13"/>
  <c r="M3"/>
  <c r="N4"/>
  <c r="N10"/>
  <c r="N13"/>
  <c r="N3"/>
  <c r="O4"/>
  <c r="O10"/>
  <c r="O13"/>
  <c r="O3"/>
  <c r="P4"/>
  <c r="P10"/>
  <c r="P13"/>
  <c r="P3"/>
  <c r="Q4"/>
  <c r="Q10"/>
  <c r="Q13"/>
  <c r="Q3"/>
  <c r="R4"/>
  <c r="R10"/>
  <c r="R13"/>
  <c r="R3"/>
  <c r="S4"/>
  <c r="S10"/>
  <c r="S13"/>
  <c r="S3"/>
  <c r="T4"/>
  <c r="T10"/>
  <c r="T13"/>
  <c r="T3"/>
  <c r="U4"/>
  <c r="U10"/>
  <c r="U13"/>
  <c r="U3"/>
  <c r="V4"/>
  <c r="V10"/>
  <c r="V13"/>
  <c r="V3"/>
  <c r="W4"/>
  <c r="W10"/>
  <c r="W13"/>
  <c r="W3"/>
  <c r="X4"/>
  <c r="X10"/>
  <c r="X13"/>
  <c r="X3"/>
  <c r="Y4"/>
  <c r="Y10"/>
  <c r="Y13"/>
  <c r="Y3"/>
  <c r="Z4"/>
  <c r="Z10"/>
  <c r="Z13"/>
  <c r="Z3"/>
  <c r="AA4"/>
  <c r="AA10"/>
  <c r="AA13"/>
  <c r="AA3"/>
  <c r="AB4"/>
  <c r="AB10"/>
  <c r="AB13"/>
  <c r="AB3"/>
  <c r="AC4"/>
  <c r="AC10"/>
  <c r="AC13"/>
  <c r="AC3"/>
  <c r="AD4"/>
  <c r="AD10"/>
  <c r="AD13"/>
  <c r="AD3"/>
  <c r="AE4"/>
  <c r="AE10"/>
  <c r="AE13"/>
  <c r="AE3"/>
  <c r="AF4"/>
  <c r="AF10"/>
  <c r="AF13"/>
  <c r="AF3"/>
  <c r="AG4"/>
  <c r="AG10"/>
  <c r="AG13"/>
  <c r="AG3"/>
  <c r="AH4"/>
  <c r="AH10"/>
  <c r="AH13"/>
  <c r="AH3"/>
  <c r="AI4"/>
  <c r="AI10"/>
  <c r="AI13"/>
  <c r="AI3"/>
  <c r="AJ4"/>
  <c r="AJ10"/>
  <c r="AJ13"/>
  <c r="AJ3"/>
  <c r="AK4"/>
  <c r="AK10"/>
  <c r="AK13"/>
  <c r="AK3"/>
  <c r="AL4"/>
  <c r="AL10"/>
  <c r="AL13"/>
  <c r="AL3"/>
  <c r="AM4"/>
  <c r="AM10"/>
  <c r="AM13"/>
  <c r="AM3"/>
  <c r="AN4"/>
  <c r="AN10"/>
  <c r="AN13"/>
  <c r="AN3"/>
  <c r="AO4"/>
  <c r="AO10"/>
  <c r="AO13"/>
  <c r="AO3"/>
  <c r="AP4"/>
  <c r="AP10"/>
  <c r="AP13"/>
  <c r="AP3"/>
  <c r="AQ4"/>
  <c r="AQ10"/>
  <c r="AQ13"/>
  <c r="AQ3"/>
  <c r="AR4"/>
  <c r="AR10"/>
  <c r="AR13"/>
  <c r="AR3"/>
  <c r="AS4"/>
  <c r="AS10"/>
  <c r="AS13"/>
  <c r="AS3"/>
  <c r="AT4"/>
  <c r="AT10"/>
  <c r="AT13"/>
  <c r="AT3"/>
  <c r="AU4"/>
  <c r="AU10"/>
  <c r="AU13"/>
  <c r="AU3"/>
  <c r="AW4"/>
  <c r="AW10"/>
  <c r="AW13"/>
  <c r="AW3"/>
  <c r="AX4"/>
  <c r="AX10"/>
  <c r="AX13"/>
  <c r="AX3"/>
  <c r="AY4"/>
  <c r="AY10"/>
  <c r="AY13"/>
  <c r="AY3"/>
  <c r="AZ4"/>
  <c r="AZ10"/>
  <c r="AZ13"/>
  <c r="AZ3"/>
  <c r="BA4"/>
  <c r="BA10"/>
  <c r="BA13"/>
  <c r="BA3"/>
  <c r="BB4"/>
  <c r="BB10"/>
  <c r="BB13"/>
  <c r="BB3"/>
  <c r="BC4"/>
  <c r="BC10"/>
  <c r="BC13"/>
  <c r="BC3"/>
  <c r="BD4"/>
  <c r="BD10"/>
  <c r="BD13"/>
  <c r="BD3"/>
  <c r="BE4"/>
  <c r="BE10"/>
  <c r="BE13"/>
  <c r="BE3"/>
  <c r="BF4"/>
  <c r="BF10"/>
  <c r="BF13"/>
  <c r="BF3"/>
  <c r="BG4"/>
  <c r="BG10"/>
  <c r="BG13"/>
  <c r="BG3"/>
  <c r="BH4"/>
  <c r="BH10"/>
  <c r="BH13"/>
  <c r="BH3"/>
  <c r="BI4"/>
  <c r="BI10"/>
  <c r="BI13"/>
  <c r="BI3"/>
  <c r="BJ4"/>
  <c r="BJ10"/>
  <c r="BJ13"/>
  <c r="BJ3"/>
  <c r="BK4"/>
  <c r="BK10"/>
  <c r="BK13"/>
  <c r="BK3"/>
  <c r="BL4"/>
  <c r="BL10"/>
  <c r="BL13"/>
  <c r="BL3"/>
  <c r="BM4"/>
  <c r="BM10"/>
  <c r="BM13"/>
  <c r="BM3"/>
  <c r="BN4"/>
  <c r="BN10"/>
  <c r="BN13"/>
  <c r="BN3"/>
  <c r="BO4"/>
  <c r="BO10"/>
  <c r="BO13"/>
  <c r="BO3"/>
  <c r="BP4"/>
  <c r="BP10"/>
  <c r="BP13"/>
  <c r="BP3"/>
  <c r="BQ4"/>
  <c r="BQ10"/>
  <c r="BQ13"/>
  <c r="BQ3"/>
  <c r="BR4"/>
  <c r="BR10"/>
  <c r="BR13"/>
  <c r="BR3"/>
  <c r="BS4"/>
  <c r="BS10"/>
  <c r="BS13"/>
  <c r="BS3"/>
  <c r="BT4"/>
  <c r="BT10"/>
  <c r="BT13"/>
  <c r="BT3"/>
  <c r="BU4"/>
  <c r="BU10"/>
  <c r="BU13"/>
  <c r="BU3"/>
  <c r="BV4"/>
  <c r="BV10"/>
  <c r="BV13"/>
  <c r="BV3"/>
  <c r="BW4"/>
  <c r="BW10"/>
  <c r="BW13"/>
  <c r="BW3"/>
  <c r="BX4"/>
  <c r="BX10"/>
  <c r="BX13"/>
  <c r="BX3"/>
  <c r="BY4"/>
  <c r="BY10"/>
  <c r="BY13"/>
  <c r="BY3"/>
  <c r="BZ4"/>
  <c r="BZ10"/>
  <c r="BZ13"/>
  <c r="BZ3"/>
  <c r="CA4"/>
  <c r="CA10"/>
  <c r="CA13"/>
  <c r="CA3"/>
  <c r="CB4"/>
  <c r="CB10"/>
  <c r="CB13"/>
  <c r="CB3"/>
  <c r="CC4"/>
  <c r="CC10"/>
  <c r="CC13"/>
  <c r="CC3"/>
  <c r="CD4"/>
  <c r="CD10"/>
  <c r="CD13"/>
  <c r="CD3"/>
  <c r="CE4"/>
  <c r="CE10"/>
  <c r="CE13"/>
  <c r="CE3"/>
  <c r="CF4"/>
  <c r="CF10"/>
  <c r="CF13"/>
  <c r="CF3"/>
  <c r="CG4"/>
  <c r="CG10"/>
  <c r="CG13"/>
  <c r="CG3"/>
  <c r="CH4"/>
  <c r="CH10"/>
  <c r="CH13"/>
  <c r="CH3"/>
  <c r="CI4"/>
  <c r="CI10"/>
  <c r="CI13"/>
  <c r="CI3"/>
  <c r="CJ4"/>
  <c r="CJ10"/>
  <c r="CJ13"/>
  <c r="CJ3"/>
  <c r="CK4"/>
  <c r="CK10"/>
  <c r="CK13"/>
  <c r="CK3"/>
  <c r="CL4"/>
  <c r="CL10"/>
  <c r="CL13"/>
  <c r="CL3"/>
  <c r="CM4"/>
  <c r="CM10"/>
  <c r="CM13"/>
  <c r="CM3"/>
  <c r="CN4"/>
  <c r="CN10"/>
  <c r="CN13"/>
  <c r="CN3"/>
  <c r="CO4"/>
  <c r="CO10"/>
  <c r="CO13"/>
  <c r="CO3"/>
  <c r="CP4"/>
  <c r="CP10"/>
  <c r="CP13"/>
  <c r="CP3"/>
  <c r="CQ4"/>
  <c r="CQ10"/>
  <c r="CQ13"/>
  <c r="CQ3"/>
  <c r="CR4"/>
  <c r="CR10"/>
  <c r="CR13"/>
  <c r="CR3"/>
  <c r="CS4"/>
  <c r="CS10"/>
  <c r="CS13"/>
  <c r="CS3"/>
  <c r="CT4"/>
  <c r="CT10"/>
  <c r="CT13"/>
  <c r="CT3"/>
  <c r="CU4"/>
  <c r="CU10"/>
  <c r="CU13"/>
  <c r="CU3"/>
  <c r="CV4"/>
  <c r="CV10"/>
  <c r="CV13"/>
  <c r="CV3"/>
  <c r="CW4"/>
  <c r="CW10"/>
  <c r="CW13"/>
  <c r="CW3"/>
  <c r="CX4"/>
  <c r="CX10"/>
  <c r="CX13"/>
  <c r="CX3"/>
  <c r="B4"/>
  <c r="B10"/>
  <c r="B13"/>
  <c r="B3"/>
  <c r="C10"/>
  <c r="E10"/>
  <c r="G10"/>
  <c r="I10"/>
  <c r="C13"/>
  <c r="E13"/>
  <c r="G13"/>
  <c r="I13"/>
  <c r="CY13"/>
  <c r="CZ13"/>
  <c r="I3"/>
  <c r="G3"/>
  <c r="E3"/>
  <c r="C3"/>
  <c r="B22"/>
  <c r="CW22"/>
  <c r="CU22"/>
  <c r="CS22"/>
  <c r="CQ22"/>
  <c r="CO22"/>
  <c r="CM22"/>
  <c r="CK22"/>
  <c r="CI22"/>
  <c r="CG22"/>
  <c r="CE22"/>
  <c r="CC22"/>
  <c r="CA22"/>
  <c r="BR53"/>
  <c r="BP53"/>
  <c r="BN53"/>
  <c r="BL53"/>
  <c r="BJ53"/>
  <c r="BH53"/>
  <c r="BF53"/>
  <c r="BD53"/>
  <c r="BB53"/>
  <c r="AZ53"/>
  <c r="AX53"/>
  <c r="AT53"/>
  <c r="AR53"/>
  <c r="AP53"/>
  <c r="AN53"/>
  <c r="AL53"/>
  <c r="AJ53"/>
  <c r="AH53"/>
  <c r="AF53"/>
  <c r="AD53"/>
  <c r="AB53"/>
  <c r="Z53"/>
  <c r="X53"/>
  <c r="V53"/>
  <c r="T53"/>
  <c r="R53"/>
  <c r="P53"/>
  <c r="N53"/>
  <c r="L53"/>
  <c r="J53"/>
  <c r="H53"/>
  <c r="F53"/>
  <c r="D53"/>
  <c r="B87"/>
  <c r="CW87"/>
  <c r="CU87"/>
  <c r="CS87"/>
  <c r="CQ87"/>
  <c r="CO87"/>
  <c r="CM87"/>
  <c r="CK87"/>
  <c r="CI87"/>
  <c r="CG87"/>
  <c r="CE87"/>
  <c r="CC87"/>
  <c r="CA87"/>
  <c r="BY87"/>
  <c r="BW87"/>
  <c r="BU87"/>
  <c r="BM53"/>
  <c r="BK53"/>
  <c r="BI53"/>
  <c r="BG53"/>
  <c r="BE53"/>
  <c r="BC53"/>
  <c r="BA53"/>
  <c r="AY53"/>
  <c r="AW53"/>
  <c r="AU53"/>
  <c r="AS53"/>
  <c r="AQ53"/>
  <c r="AO53"/>
  <c r="AM53"/>
  <c r="AK53"/>
  <c r="AI53"/>
  <c r="AG53"/>
  <c r="AE53"/>
  <c r="AC53"/>
  <c r="AA53"/>
  <c r="Y53"/>
  <c r="W53"/>
  <c r="U53"/>
  <c r="S53"/>
  <c r="Q53"/>
  <c r="O53"/>
  <c r="M53"/>
  <c r="K53"/>
  <c r="I53"/>
  <c r="G53"/>
  <c r="E53"/>
  <c r="C53"/>
  <c r="CX87"/>
  <c r="CV87"/>
  <c r="CT87"/>
  <c r="CR87"/>
  <c r="CP87"/>
  <c r="CN87"/>
  <c r="CL87"/>
  <c r="CJ87"/>
  <c r="CH87"/>
  <c r="CF87"/>
  <c r="CD87"/>
  <c r="CB87"/>
  <c r="BZ87"/>
  <c r="BX87"/>
  <c r="BV87"/>
  <c r="BT87"/>
  <c r="BR66"/>
  <c r="BR87"/>
  <c r="BP66"/>
  <c r="BP87"/>
  <c r="BN66"/>
  <c r="BN87"/>
  <c r="BL66"/>
  <c r="BL87"/>
  <c r="BJ66"/>
  <c r="BJ87"/>
  <c r="BH66"/>
  <c r="BH87"/>
  <c r="BF66"/>
  <c r="BF87"/>
  <c r="BD66"/>
  <c r="BD87"/>
  <c r="BB66"/>
  <c r="BB87"/>
  <c r="AZ66"/>
  <c r="AZ87"/>
  <c r="AX66"/>
  <c r="AX87"/>
  <c r="AT66"/>
  <c r="AT87"/>
  <c r="AR66"/>
  <c r="AR87"/>
  <c r="AP66"/>
  <c r="AP87"/>
  <c r="AN66"/>
  <c r="AN87"/>
  <c r="AL66"/>
  <c r="AL87"/>
  <c r="AJ66"/>
  <c r="AJ87"/>
  <c r="AH66"/>
  <c r="AH87"/>
  <c r="AF66"/>
  <c r="AF87"/>
  <c r="AD66"/>
  <c r="AD87"/>
  <c r="AB66"/>
  <c r="AB87"/>
  <c r="Z66"/>
  <c r="Z87"/>
  <c r="X66"/>
  <c r="X87"/>
  <c r="V66"/>
  <c r="V87"/>
  <c r="T66"/>
  <c r="T87"/>
  <c r="R66"/>
  <c r="R87"/>
  <c r="P66"/>
  <c r="P87"/>
  <c r="N66"/>
  <c r="N87"/>
  <c r="L66"/>
  <c r="L87"/>
  <c r="J66"/>
  <c r="J87"/>
  <c r="H66"/>
  <c r="H87"/>
  <c r="F66"/>
  <c r="F87"/>
  <c r="D66"/>
  <c r="D87"/>
  <c r="BS66"/>
  <c r="BS87"/>
  <c r="BQ66"/>
  <c r="BQ87"/>
  <c r="BO66"/>
  <c r="BO87"/>
  <c r="BM66"/>
  <c r="BM87"/>
  <c r="BK66"/>
  <c r="BK87"/>
  <c r="BI66"/>
  <c r="BI87"/>
  <c r="BG66"/>
  <c r="BG87"/>
  <c r="BE66"/>
  <c r="BE87"/>
  <c r="BC66"/>
  <c r="BC87"/>
  <c r="BA66"/>
  <c r="BA87"/>
  <c r="AY66"/>
  <c r="AY87"/>
  <c r="AW66"/>
  <c r="AW87"/>
  <c r="AU66"/>
  <c r="AU87"/>
  <c r="AS66"/>
  <c r="AS87"/>
  <c r="AQ66"/>
  <c r="AQ87"/>
  <c r="AO66"/>
  <c r="AO87"/>
  <c r="AM66"/>
  <c r="AM87"/>
  <c r="AK66"/>
  <c r="AK87"/>
  <c r="AI66"/>
  <c r="AI87"/>
  <c r="AG66"/>
  <c r="AG87"/>
  <c r="AE66"/>
  <c r="AE87"/>
  <c r="AC66"/>
  <c r="AC87"/>
  <c r="AA66"/>
  <c r="AA87"/>
  <c r="Y66"/>
  <c r="Y87"/>
  <c r="W66"/>
  <c r="W87"/>
  <c r="U66"/>
  <c r="U87"/>
  <c r="S66"/>
  <c r="S87"/>
  <c r="Q66"/>
  <c r="Q87"/>
  <c r="O66"/>
  <c r="O87"/>
  <c r="M66"/>
  <c r="M87"/>
  <c r="K66"/>
  <c r="K87"/>
  <c r="I66"/>
  <c r="I87"/>
  <c r="G66"/>
  <c r="G87"/>
  <c r="E66"/>
  <c r="E87"/>
  <c r="C66"/>
  <c r="C87"/>
  <c r="E25" i="11"/>
  <c r="E24"/>
  <c r="C45" i="16"/>
  <c r="E49" i="11"/>
  <c r="E24" i="27"/>
  <c r="E23" i="25"/>
  <c r="B11" i="16"/>
  <c r="D24" i="27"/>
  <c r="E37" i="11"/>
  <c r="E27" i="17"/>
  <c r="G46" i="16"/>
  <c r="I46"/>
  <c r="K46"/>
  <c r="M46"/>
  <c r="J47"/>
  <c r="L47"/>
  <c r="G48"/>
  <c r="I48"/>
  <c r="K48"/>
  <c r="M48"/>
  <c r="J49"/>
  <c r="L49"/>
  <c r="J46"/>
  <c r="L46"/>
  <c r="G47"/>
  <c r="I47"/>
  <c r="K47"/>
  <c r="M47"/>
  <c r="J48"/>
  <c r="L48"/>
  <c r="G49"/>
  <c r="I49"/>
  <c r="K49"/>
  <c r="M49"/>
  <c r="F47"/>
  <c r="F49"/>
  <c r="F48"/>
  <c r="F46"/>
  <c r="D23" i="25"/>
  <c r="G51" i="16"/>
  <c r="I51"/>
  <c r="K51"/>
  <c r="M51"/>
  <c r="J52"/>
  <c r="L52"/>
  <c r="G53"/>
  <c r="I53"/>
  <c r="K53"/>
  <c r="M53"/>
  <c r="J54"/>
  <c r="L54"/>
  <c r="F52"/>
  <c r="F54"/>
  <c r="J51"/>
  <c r="L51"/>
  <c r="G52"/>
  <c r="I52"/>
  <c r="K52"/>
  <c r="M52"/>
  <c r="J53"/>
  <c r="L53"/>
  <c r="G54"/>
  <c r="I54"/>
  <c r="K54"/>
  <c r="M54"/>
  <c r="F53"/>
  <c r="F51"/>
  <c r="F23" i="25"/>
  <c r="F24" i="27"/>
  <c r="D130" i="25"/>
  <c r="D129"/>
  <c r="D128"/>
  <c r="D127"/>
  <c r="E100" i="27"/>
  <c r="E99"/>
  <c r="E98"/>
  <c r="E97"/>
  <c r="E96"/>
  <c r="E95"/>
  <c r="E94"/>
  <c r="E93"/>
  <c r="E92"/>
  <c r="E91"/>
  <c r="E90"/>
  <c r="E89"/>
  <c r="E88"/>
  <c r="E87"/>
  <c r="E86"/>
  <c r="E85"/>
  <c r="E84"/>
  <c r="E83"/>
  <c r="E82"/>
  <c r="D81"/>
  <c r="E80"/>
  <c r="E79"/>
  <c r="E78"/>
  <c r="E75"/>
  <c r="E74"/>
  <c r="E73"/>
  <c r="E72"/>
  <c r="E71"/>
  <c r="E70"/>
  <c r="E69"/>
  <c r="D68"/>
  <c r="E67"/>
  <c r="E66"/>
  <c r="E65"/>
  <c r="E64"/>
  <c r="E63"/>
  <c r="E62"/>
  <c r="E59"/>
  <c r="E57"/>
  <c r="E56"/>
  <c r="E55"/>
  <c r="E54"/>
  <c r="E53"/>
  <c r="E52"/>
  <c r="D48"/>
  <c r="E47"/>
  <c r="E46"/>
  <c r="E45"/>
  <c r="E44"/>
  <c r="E43"/>
  <c r="E42"/>
  <c r="E41"/>
  <c r="E40"/>
  <c r="E39"/>
  <c r="E38"/>
  <c r="D37"/>
  <c r="E36"/>
  <c r="E35"/>
  <c r="E34"/>
  <c r="E33"/>
  <c r="E32"/>
  <c r="E31"/>
  <c r="E30"/>
  <c r="E29"/>
  <c r="E28"/>
  <c r="E27"/>
  <c r="E26"/>
  <c r="E25"/>
  <c r="E23"/>
  <c r="E22"/>
  <c r="E21"/>
  <c r="E20"/>
  <c r="E19"/>
  <c r="D18"/>
  <c r="D8"/>
  <c r="D7"/>
  <c r="D6"/>
  <c r="D5"/>
  <c r="D4"/>
  <c r="E40" i="11"/>
  <c r="C63" i="16"/>
  <c r="E76" i="27"/>
  <c r="C55" i="16"/>
  <c r="C68"/>
  <c r="C19" i="21"/>
  <c r="C25" i="18"/>
  <c r="C22"/>
  <c r="E68" i="27"/>
  <c r="A68"/>
  <c r="E7"/>
  <c r="E81"/>
  <c r="A81"/>
  <c r="E8"/>
  <c r="E40" i="21"/>
  <c r="E36"/>
  <c r="E36" i="18"/>
  <c r="E35"/>
  <c r="E34" i="19"/>
  <c r="F18" i="16"/>
  <c r="I18"/>
  <c r="K18"/>
  <c r="M18"/>
  <c r="J18"/>
  <c r="L18"/>
  <c r="G18"/>
  <c r="F21"/>
  <c r="I21"/>
  <c r="K21"/>
  <c r="M21"/>
  <c r="J21"/>
  <c r="L21"/>
  <c r="G21"/>
  <c r="F78"/>
  <c r="I78"/>
  <c r="K78"/>
  <c r="M78"/>
  <c r="G78"/>
  <c r="J78"/>
  <c r="L78"/>
  <c r="F81"/>
  <c r="I81"/>
  <c r="K81"/>
  <c r="M81"/>
  <c r="G81"/>
  <c r="J81"/>
  <c r="L81"/>
  <c r="B11" i="11"/>
  <c r="B13"/>
  <c r="B13" i="16"/>
  <c r="D26" i="27"/>
  <c r="E18" i="25"/>
  <c r="E19"/>
  <c r="E20"/>
  <c r="E21"/>
  <c r="E22"/>
  <c r="E24"/>
  <c r="E25"/>
  <c r="E26"/>
  <c r="E27"/>
  <c r="E28"/>
  <c r="E29"/>
  <c r="E30"/>
  <c r="E31"/>
  <c r="E32"/>
  <c r="E33"/>
  <c r="E34"/>
  <c r="E35"/>
  <c r="E37"/>
  <c r="E38"/>
  <c r="E39"/>
  <c r="E40"/>
  <c r="E41"/>
  <c r="E42"/>
  <c r="E43"/>
  <c r="E44"/>
  <c r="E45"/>
  <c r="E46"/>
  <c r="E51"/>
  <c r="E52"/>
  <c r="E53"/>
  <c r="E54"/>
  <c r="E55"/>
  <c r="E56"/>
  <c r="E58"/>
  <c r="E61"/>
  <c r="E62"/>
  <c r="E63"/>
  <c r="E64"/>
  <c r="E65"/>
  <c r="E66"/>
  <c r="E68"/>
  <c r="E69"/>
  <c r="E70"/>
  <c r="E71"/>
  <c r="E72"/>
  <c r="E73"/>
  <c r="E74"/>
  <c r="E77"/>
  <c r="E78"/>
  <c r="E79"/>
  <c r="E81"/>
  <c r="E82"/>
  <c r="E83"/>
  <c r="E84"/>
  <c r="E85"/>
  <c r="E86"/>
  <c r="E87"/>
  <c r="E88"/>
  <c r="E89"/>
  <c r="E90"/>
  <c r="E91"/>
  <c r="E92"/>
  <c r="E94"/>
  <c r="E95"/>
  <c r="E96"/>
  <c r="E97"/>
  <c r="E98"/>
  <c r="E99"/>
  <c r="E93"/>
  <c r="D36"/>
  <c r="D47"/>
  <c r="D67"/>
  <c r="D80"/>
  <c r="D17"/>
  <c r="D10"/>
  <c r="D9"/>
  <c r="D8"/>
  <c r="D7"/>
  <c r="D6"/>
  <c r="E53" i="18"/>
  <c r="E52"/>
  <c r="F67" i="16"/>
  <c r="I67"/>
  <c r="K67"/>
  <c r="M67"/>
  <c r="J67"/>
  <c r="L67"/>
  <c r="G67"/>
  <c r="E50" i="21"/>
  <c r="F85" i="16"/>
  <c r="J85"/>
  <c r="L85"/>
  <c r="G85"/>
  <c r="I85"/>
  <c r="K85"/>
  <c r="M85"/>
  <c r="F97" i="25"/>
  <c r="F98" i="27"/>
  <c r="F84" i="16"/>
  <c r="J84"/>
  <c r="L84"/>
  <c r="G84"/>
  <c r="I84"/>
  <c r="K84"/>
  <c r="M84"/>
  <c r="F97" i="27"/>
  <c r="F96" i="25"/>
  <c r="C36" i="16"/>
  <c r="C35"/>
  <c r="C38"/>
  <c r="C37"/>
  <c r="C48"/>
  <c r="C47"/>
  <c r="E60" i="25"/>
  <c r="E61" i="27"/>
  <c r="E50" i="25"/>
  <c r="E51" i="27"/>
  <c r="E49" i="25"/>
  <c r="E50" i="27"/>
  <c r="E48" i="25"/>
  <c r="E49" i="27"/>
  <c r="E59" i="25"/>
  <c r="E60" i="27"/>
  <c r="E57" i="25"/>
  <c r="E58" i="27"/>
  <c r="E48"/>
  <c r="A48"/>
  <c r="E6"/>
  <c r="E47" i="25"/>
  <c r="E8"/>
  <c r="F58"/>
  <c r="F59" i="27"/>
  <c r="E41" i="21"/>
  <c r="F94" i="25"/>
  <c r="F95" i="27"/>
  <c r="E39" i="21"/>
  <c r="E37"/>
  <c r="B83" i="16"/>
  <c r="B77"/>
  <c r="B74"/>
  <c r="B69"/>
  <c r="E19" i="21"/>
  <c r="E18"/>
  <c r="E17"/>
  <c r="E16"/>
  <c r="F70" i="16"/>
  <c r="J70"/>
  <c r="L70"/>
  <c r="G70"/>
  <c r="I70"/>
  <c r="K70"/>
  <c r="M70"/>
  <c r="F71"/>
  <c r="J71"/>
  <c r="L71"/>
  <c r="G71"/>
  <c r="I71"/>
  <c r="K71"/>
  <c r="M71"/>
  <c r="F72"/>
  <c r="J72"/>
  <c r="L72"/>
  <c r="G72"/>
  <c r="I72"/>
  <c r="K72"/>
  <c r="M72"/>
  <c r="F76"/>
  <c r="J76"/>
  <c r="L76"/>
  <c r="G76"/>
  <c r="I76"/>
  <c r="K76"/>
  <c r="M76"/>
  <c r="F79"/>
  <c r="I79"/>
  <c r="K79"/>
  <c r="M79"/>
  <c r="G79"/>
  <c r="J79"/>
  <c r="L79"/>
  <c r="F80"/>
  <c r="I80"/>
  <c r="K80"/>
  <c r="M80"/>
  <c r="G80"/>
  <c r="J80"/>
  <c r="L80"/>
  <c r="D86" i="25"/>
  <c r="D87" i="27"/>
  <c r="D95" i="25"/>
  <c r="D96" i="27"/>
  <c r="D81" i="25"/>
  <c r="D82" i="27"/>
  <c r="D89" i="25"/>
  <c r="D90" i="27"/>
  <c r="E80" i="25"/>
  <c r="E10"/>
  <c r="F94" i="27"/>
  <c r="F84"/>
  <c r="B30" i="16"/>
  <c r="B28"/>
  <c r="B25"/>
  <c r="B15"/>
  <c r="B12"/>
  <c r="B6"/>
  <c r="D40" i="25"/>
  <c r="D41" i="27"/>
  <c r="D37" i="25"/>
  <c r="D38" i="27"/>
  <c r="D42" i="25"/>
  <c r="D43" i="27"/>
  <c r="D27" i="25"/>
  <c r="D123"/>
  <c r="D28" i="27"/>
  <c r="D18" i="25"/>
  <c r="D121"/>
  <c r="D19" i="27"/>
  <c r="D24" i="25"/>
  <c r="D122"/>
  <c r="D25" i="27"/>
  <c r="F92" i="25"/>
  <c r="F93" i="27"/>
  <c r="F91" i="25"/>
  <c r="F92" i="27"/>
  <c r="F88" i="25"/>
  <c r="F89" i="27"/>
  <c r="F84" i="25"/>
  <c r="F85" i="27"/>
  <c r="F82" i="25"/>
  <c r="F83" i="27"/>
  <c r="F93" i="25"/>
  <c r="F83"/>
  <c r="C64" i="16"/>
  <c r="E75" i="25"/>
  <c r="E45" i="18"/>
  <c r="E44"/>
  <c r="F77" i="27"/>
  <c r="G64" i="16"/>
  <c r="I64"/>
  <c r="K64"/>
  <c r="M64"/>
  <c r="J64"/>
  <c r="L64"/>
  <c r="F64"/>
  <c r="E76" i="25"/>
  <c r="E77" i="27"/>
  <c r="B184" i="10"/>
  <c r="F76" i="25"/>
  <c r="E9"/>
  <c r="E67"/>
  <c r="B81" i="16"/>
  <c r="B87"/>
  <c r="B86"/>
  <c r="B85"/>
  <c r="B84"/>
  <c r="B82"/>
  <c r="B80"/>
  <c r="B79"/>
  <c r="B78"/>
  <c r="B76"/>
  <c r="B75"/>
  <c r="B73"/>
  <c r="B72"/>
  <c r="B71"/>
  <c r="B70"/>
  <c r="D82" i="25"/>
  <c r="D83" i="27"/>
  <c r="D84" i="25"/>
  <c r="D85" i="27"/>
  <c r="D87" i="25"/>
  <c r="D88" i="27"/>
  <c r="D90" i="25"/>
  <c r="D91" i="27"/>
  <c r="D92" i="25"/>
  <c r="D93" i="27"/>
  <c r="D96" i="25"/>
  <c r="D97" i="27"/>
  <c r="D98" i="25"/>
  <c r="D99" i="27"/>
  <c r="D93" i="25"/>
  <c r="D94" i="27"/>
  <c r="D83" i="25"/>
  <c r="D84" i="27"/>
  <c r="D85" i="25"/>
  <c r="D86" i="27"/>
  <c r="D88" i="25"/>
  <c r="D89" i="27"/>
  <c r="D91" i="25"/>
  <c r="D92" i="27"/>
  <c r="D94" i="25"/>
  <c r="D95" i="27"/>
  <c r="D97" i="25"/>
  <c r="D98" i="27"/>
  <c r="D99" i="25"/>
  <c r="D100" i="27"/>
  <c r="E33" i="18"/>
  <c r="B67" i="16"/>
  <c r="B66"/>
  <c r="B65"/>
  <c r="B64"/>
  <c r="B63"/>
  <c r="B62"/>
  <c r="B61"/>
  <c r="B60"/>
  <c r="B59"/>
  <c r="B58"/>
  <c r="B57"/>
  <c r="B56"/>
  <c r="E24" i="18"/>
  <c r="D2" i="23"/>
  <c r="B54" i="16"/>
  <c r="B53"/>
  <c r="B52"/>
  <c r="B51"/>
  <c r="B50"/>
  <c r="B49"/>
  <c r="B48"/>
  <c r="B47"/>
  <c r="B46"/>
  <c r="B45"/>
  <c r="B44"/>
  <c r="B43"/>
  <c r="B42"/>
  <c r="B41"/>
  <c r="B40"/>
  <c r="B36"/>
  <c r="B39"/>
  <c r="B38"/>
  <c r="B37"/>
  <c r="C24"/>
  <c r="G37"/>
  <c r="I37"/>
  <c r="K37"/>
  <c r="M37"/>
  <c r="J38"/>
  <c r="L38"/>
  <c r="G39"/>
  <c r="I39"/>
  <c r="K39"/>
  <c r="M39"/>
  <c r="F39"/>
  <c r="J37"/>
  <c r="L37"/>
  <c r="G38"/>
  <c r="I38"/>
  <c r="K38"/>
  <c r="M38"/>
  <c r="J39"/>
  <c r="L39"/>
  <c r="F38"/>
  <c r="F37"/>
  <c r="F57"/>
  <c r="F58"/>
  <c r="F62"/>
  <c r="K62"/>
  <c r="L62"/>
  <c r="I62"/>
  <c r="M62"/>
  <c r="J62"/>
  <c r="G62"/>
  <c r="J57"/>
  <c r="L57"/>
  <c r="I57"/>
  <c r="K57"/>
  <c r="M57"/>
  <c r="G57"/>
  <c r="J58"/>
  <c r="L58"/>
  <c r="G58"/>
  <c r="I58"/>
  <c r="K58"/>
  <c r="M58"/>
  <c r="E53" i="11"/>
  <c r="E5" i="27"/>
  <c r="E37"/>
  <c r="A37"/>
  <c r="D50" i="25"/>
  <c r="D51" i="27"/>
  <c r="D53" i="25"/>
  <c r="D54" i="27"/>
  <c r="D49" i="25"/>
  <c r="D50" i="27"/>
  <c r="D51" i="25"/>
  <c r="D52" i="27"/>
  <c r="D52" i="25"/>
  <c r="D53" i="27"/>
  <c r="D54" i="25"/>
  <c r="D55" i="27"/>
  <c r="D56" i="25"/>
  <c r="D57" i="27"/>
  <c r="D58" i="25"/>
  <c r="D59" i="27"/>
  <c r="D60" i="25"/>
  <c r="D61" i="27"/>
  <c r="D63" i="25"/>
  <c r="D64" i="27"/>
  <c r="D66" i="25"/>
  <c r="D67" i="27"/>
  <c r="D68" i="25"/>
  <c r="D131"/>
  <c r="D69" i="27"/>
  <c r="D70" i="25"/>
  <c r="D71" i="27"/>
  <c r="D72" i="25"/>
  <c r="D73" i="27"/>
  <c r="D74" i="25"/>
  <c r="D75" i="27"/>
  <c r="D76" i="25"/>
  <c r="D77" i="27"/>
  <c r="D78" i="25"/>
  <c r="D79" i="27"/>
  <c r="D48" i="25"/>
  <c r="D49" i="27"/>
  <c r="D55" i="25"/>
  <c r="D56" i="27"/>
  <c r="D57" i="25"/>
  <c r="D58" i="27"/>
  <c r="D59" i="25"/>
  <c r="D60" i="27"/>
  <c r="D61" i="25"/>
  <c r="D62" i="27"/>
  <c r="D62" i="25"/>
  <c r="D63" i="27"/>
  <c r="D64" i="25"/>
  <c r="D65" i="27"/>
  <c r="D65" i="25"/>
  <c r="D66" i="27"/>
  <c r="D69" i="25"/>
  <c r="D70" i="27"/>
  <c r="D71" i="25"/>
  <c r="D72" i="27"/>
  <c r="D73" i="25"/>
  <c r="D132"/>
  <c r="D74" i="27"/>
  <c r="D75" i="25"/>
  <c r="D133"/>
  <c r="D76" i="27"/>
  <c r="D77" i="25"/>
  <c r="D78" i="27"/>
  <c r="D79" i="25"/>
  <c r="D80" i="27"/>
  <c r="F75"/>
  <c r="F50"/>
  <c r="E36" i="25"/>
  <c r="E7"/>
  <c r="F70" i="27"/>
  <c r="K50" i="16"/>
  <c r="L50"/>
  <c r="F50"/>
  <c r="I50"/>
  <c r="M50"/>
  <c r="J50"/>
  <c r="G50"/>
  <c r="F51" i="25"/>
  <c r="F52" i="27"/>
  <c r="F54" i="25"/>
  <c r="F55" i="27"/>
  <c r="F70" i="25"/>
  <c r="F71" i="27"/>
  <c r="F50" i="25"/>
  <c r="F51" i="27"/>
  <c r="F69" i="25"/>
  <c r="F49"/>
  <c r="F36" i="16"/>
  <c r="M36"/>
  <c r="I36"/>
  <c r="J36"/>
  <c r="L36"/>
  <c r="K36"/>
  <c r="G36"/>
  <c r="F49" i="27"/>
  <c r="B49"/>
  <c r="E26" i="17"/>
  <c r="E24"/>
  <c r="C5" i="16"/>
  <c r="B21"/>
  <c r="F31"/>
  <c r="I31"/>
  <c r="K31"/>
  <c r="M31"/>
  <c r="J31"/>
  <c r="L31"/>
  <c r="G31"/>
  <c r="C49" i="27"/>
  <c r="E4"/>
  <c r="E18"/>
  <c r="A18"/>
  <c r="C4" i="16"/>
  <c r="D33" i="25"/>
  <c r="D34" i="27"/>
  <c r="E17" i="25"/>
  <c r="E6"/>
  <c r="B34" i="16"/>
  <c r="B33"/>
  <c r="B32"/>
  <c r="B31"/>
  <c r="B29"/>
  <c r="B27"/>
  <c r="B26"/>
  <c r="B23"/>
  <c r="B22"/>
  <c r="B20"/>
  <c r="B19"/>
  <c r="B18"/>
  <c r="B17"/>
  <c r="B16"/>
  <c r="B14"/>
  <c r="D25" i="25"/>
  <c r="B10" i="16"/>
  <c r="B9"/>
  <c r="B8"/>
  <c r="B7"/>
  <c r="B5" i="33"/>
  <c r="E51" i="21"/>
  <c r="F86" i="16"/>
  <c r="I86"/>
  <c r="K86"/>
  <c r="M86"/>
  <c r="J86"/>
  <c r="L86"/>
  <c r="G86"/>
  <c r="F87"/>
  <c r="J87"/>
  <c r="L87"/>
  <c r="G87"/>
  <c r="I87"/>
  <c r="K87"/>
  <c r="M87"/>
  <c r="D39" i="25"/>
  <c r="D40" i="27"/>
  <c r="D43" i="25"/>
  <c r="D44" i="27"/>
  <c r="D45" i="25"/>
  <c r="D46" i="27"/>
  <c r="D38" i="25"/>
  <c r="D39" i="27"/>
  <c r="D41" i="25"/>
  <c r="D42" i="27"/>
  <c r="D44" i="25"/>
  <c r="D45" i="27"/>
  <c r="D46" i="25"/>
  <c r="D47" i="27"/>
  <c r="D21" i="25"/>
  <c r="D22" i="27"/>
  <c r="D28" i="25"/>
  <c r="D29" i="27"/>
  <c r="D30" i="25"/>
  <c r="D31" i="27"/>
  <c r="D32" i="25"/>
  <c r="D33" i="27"/>
  <c r="D35" i="25"/>
  <c r="D36" i="27"/>
  <c r="D19" i="25"/>
  <c r="D20" i="27"/>
  <c r="D20" i="25"/>
  <c r="D21" i="27"/>
  <c r="D22" i="25"/>
  <c r="D23" i="27"/>
  <c r="D26" i="25"/>
  <c r="D27" i="27"/>
  <c r="D29" i="25"/>
  <c r="D30" i="27"/>
  <c r="D31" i="25"/>
  <c r="D32" i="27"/>
  <c r="D34" i="25"/>
  <c r="D35" i="27"/>
  <c r="F99"/>
  <c r="I83" i="16"/>
  <c r="M83"/>
  <c r="F83"/>
  <c r="E17" i="11"/>
  <c r="F73" i="16"/>
  <c r="J73"/>
  <c r="L73"/>
  <c r="G73"/>
  <c r="I73"/>
  <c r="K73"/>
  <c r="M73"/>
  <c r="F75"/>
  <c r="J75"/>
  <c r="L75"/>
  <c r="G75"/>
  <c r="I75"/>
  <c r="K75"/>
  <c r="M75"/>
  <c r="J83"/>
  <c r="K83"/>
  <c r="G83"/>
  <c r="F99" i="25"/>
  <c r="F100" i="27"/>
  <c r="L83" i="16"/>
  <c r="F98" i="25"/>
  <c r="F96" i="27"/>
  <c r="F48" i="25"/>
  <c r="C48"/>
  <c r="F91" i="27"/>
  <c r="G77" i="16"/>
  <c r="I77"/>
  <c r="K77"/>
  <c r="M77"/>
  <c r="F77"/>
  <c r="J77"/>
  <c r="L77"/>
  <c r="E30" i="21"/>
  <c r="G74" i="16"/>
  <c r="I74"/>
  <c r="K74"/>
  <c r="M74"/>
  <c r="F74"/>
  <c r="F88" i="27"/>
  <c r="J74" i="16"/>
  <c r="L74"/>
  <c r="G69"/>
  <c r="I69"/>
  <c r="I68"/>
  <c r="K69"/>
  <c r="K68"/>
  <c r="M69"/>
  <c r="M68"/>
  <c r="F69"/>
  <c r="F68"/>
  <c r="F86" i="27"/>
  <c r="J69" i="16"/>
  <c r="L69"/>
  <c r="E54" i="21"/>
  <c r="E43"/>
  <c r="E22"/>
  <c r="G68" i="16"/>
  <c r="J68"/>
  <c r="C96" i="27"/>
  <c r="B96"/>
  <c r="L68" i="16"/>
  <c r="K7" i="23"/>
  <c r="F95" i="25"/>
  <c r="C95"/>
  <c r="E58" i="21"/>
  <c r="J7" i="23"/>
  <c r="F7"/>
  <c r="L7"/>
  <c r="H7"/>
  <c r="F85" i="25"/>
  <c r="F82" i="27"/>
  <c r="F87" i="25"/>
  <c r="F90"/>
  <c r="E7" i="23"/>
  <c r="G7"/>
  <c r="I7"/>
  <c r="D3" i="16"/>
  <c r="E41" i="19"/>
  <c r="E33"/>
  <c r="F17" i="16"/>
  <c r="I17"/>
  <c r="K17"/>
  <c r="M17"/>
  <c r="J17"/>
  <c r="L17"/>
  <c r="G17"/>
  <c r="F22"/>
  <c r="I22"/>
  <c r="K22"/>
  <c r="M22"/>
  <c r="J22"/>
  <c r="L22"/>
  <c r="G22"/>
  <c r="F23"/>
  <c r="I23"/>
  <c r="K23"/>
  <c r="M23"/>
  <c r="J23"/>
  <c r="L23"/>
  <c r="G23"/>
  <c r="F26"/>
  <c r="I26"/>
  <c r="K26"/>
  <c r="M26"/>
  <c r="J26"/>
  <c r="L26"/>
  <c r="G26"/>
  <c r="F89" i="25"/>
  <c r="C89"/>
  <c r="F90" i="27"/>
  <c r="F86" i="25"/>
  <c r="C86"/>
  <c r="F87" i="27"/>
  <c r="B82"/>
  <c r="C82"/>
  <c r="F81" i="25"/>
  <c r="C81"/>
  <c r="F80"/>
  <c r="C80"/>
  <c r="E117"/>
  <c r="F39" i="27"/>
  <c r="F30"/>
  <c r="D7" i="23"/>
  <c r="F117" i="25"/>
  <c r="G117"/>
  <c r="F10"/>
  <c r="C10"/>
  <c r="C90" i="27"/>
  <c r="B90"/>
  <c r="B87"/>
  <c r="C87"/>
  <c r="F30" i="25"/>
  <c r="F31" i="27"/>
  <c r="F33" i="25"/>
  <c r="F34" i="27"/>
  <c r="F34" i="25"/>
  <c r="F35" i="27"/>
  <c r="F35" i="25"/>
  <c r="F36" i="27"/>
  <c r="F8"/>
  <c r="C8"/>
  <c r="F81"/>
  <c r="F38" i="25"/>
  <c r="F29"/>
  <c r="E31" i="19"/>
  <c r="E37"/>
  <c r="E22"/>
  <c r="E23"/>
  <c r="F14" i="16"/>
  <c r="E11" i="19"/>
  <c r="E10"/>
  <c r="F9" i="16"/>
  <c r="I9"/>
  <c r="J9"/>
  <c r="L9"/>
  <c r="G9"/>
  <c r="K9"/>
  <c r="M9"/>
  <c r="F10"/>
  <c r="J11"/>
  <c r="L11"/>
  <c r="N11"/>
  <c r="N6"/>
  <c r="F11"/>
  <c r="I11"/>
  <c r="K11"/>
  <c r="M11"/>
  <c r="G11"/>
  <c r="I10"/>
  <c r="K10"/>
  <c r="M10"/>
  <c r="G10"/>
  <c r="J10"/>
  <c r="L10"/>
  <c r="F13"/>
  <c r="F16"/>
  <c r="I16"/>
  <c r="K16"/>
  <c r="J16"/>
  <c r="L16"/>
  <c r="G16"/>
  <c r="M16"/>
  <c r="F19"/>
  <c r="I19"/>
  <c r="K19"/>
  <c r="M19"/>
  <c r="J19"/>
  <c r="L19"/>
  <c r="G19"/>
  <c r="F20"/>
  <c r="K20"/>
  <c r="L20"/>
  <c r="I20"/>
  <c r="M20"/>
  <c r="J20"/>
  <c r="G20"/>
  <c r="F7"/>
  <c r="J7"/>
  <c r="L7"/>
  <c r="M7"/>
  <c r="G7"/>
  <c r="I7"/>
  <c r="K7"/>
  <c r="J14"/>
  <c r="L14"/>
  <c r="G14"/>
  <c r="I14"/>
  <c r="K14"/>
  <c r="M14"/>
  <c r="J13"/>
  <c r="L13"/>
  <c r="L12"/>
  <c r="K13"/>
  <c r="G13"/>
  <c r="G12"/>
  <c r="I13"/>
  <c r="M13"/>
  <c r="B8" i="27"/>
  <c r="C81"/>
  <c r="B81"/>
  <c r="F26"/>
  <c r="F29"/>
  <c r="J15" i="16"/>
  <c r="L15"/>
  <c r="F27" i="27"/>
  <c r="F20"/>
  <c r="E25" i="19"/>
  <c r="E43"/>
  <c r="E25" i="18"/>
  <c r="F25" i="25"/>
  <c r="F72" i="27"/>
  <c r="F59" i="16"/>
  <c r="I59"/>
  <c r="K59"/>
  <c r="M59"/>
  <c r="J59"/>
  <c r="L59"/>
  <c r="G59"/>
  <c r="F8"/>
  <c r="J8"/>
  <c r="L8"/>
  <c r="L6"/>
  <c r="L5"/>
  <c r="G8"/>
  <c r="G6"/>
  <c r="I8"/>
  <c r="I6"/>
  <c r="K8"/>
  <c r="K6"/>
  <c r="M8"/>
  <c r="M6"/>
  <c r="J6"/>
  <c r="F6"/>
  <c r="F15"/>
  <c r="F12"/>
  <c r="F21" i="25"/>
  <c r="F22" i="27"/>
  <c r="F22" i="25"/>
  <c r="F23" i="27"/>
  <c r="F31" i="25"/>
  <c r="F32" i="27"/>
  <c r="F32" i="25"/>
  <c r="F33" i="27"/>
  <c r="K15" i="16"/>
  <c r="G15"/>
  <c r="K12"/>
  <c r="M15"/>
  <c r="F26" i="25"/>
  <c r="F25" i="27"/>
  <c r="I15" i="16"/>
  <c r="F28" i="25"/>
  <c r="I12" i="16"/>
  <c r="M12"/>
  <c r="F19" i="25"/>
  <c r="J12" i="16"/>
  <c r="F71" i="25"/>
  <c r="E15" i="19"/>
  <c r="F24" i="25"/>
  <c r="C24"/>
  <c r="K5" i="16"/>
  <c r="J3" i="23"/>
  <c r="F20" i="25"/>
  <c r="F21" i="27"/>
  <c r="J5" i="16"/>
  <c r="B25" i="27"/>
  <c r="C25"/>
  <c r="F27" i="25"/>
  <c r="C27"/>
  <c r="F28" i="27"/>
  <c r="I5" i="16"/>
  <c r="H3" i="23"/>
  <c r="I3"/>
  <c r="G3"/>
  <c r="K3"/>
  <c r="M5" i="16"/>
  <c r="F5"/>
  <c r="G5"/>
  <c r="E46" i="19"/>
  <c r="E50" i="18"/>
  <c r="F60" i="16"/>
  <c r="I60"/>
  <c r="K60"/>
  <c r="M60"/>
  <c r="J60"/>
  <c r="L60"/>
  <c r="G60"/>
  <c r="F65"/>
  <c r="I65"/>
  <c r="K65"/>
  <c r="M65"/>
  <c r="J65"/>
  <c r="L65"/>
  <c r="G65"/>
  <c r="F18" i="25"/>
  <c r="C18"/>
  <c r="F113"/>
  <c r="F19" i="27"/>
  <c r="C28"/>
  <c r="B28"/>
  <c r="G47" i="18"/>
  <c r="B183" i="10"/>
  <c r="B185"/>
  <c r="E3" i="23"/>
  <c r="F3"/>
  <c r="L3"/>
  <c r="F78" i="27"/>
  <c r="J56" i="16"/>
  <c r="L56"/>
  <c r="F73" i="27"/>
  <c r="G56" i="16"/>
  <c r="I56"/>
  <c r="K56"/>
  <c r="M56"/>
  <c r="F56"/>
  <c r="F66"/>
  <c r="I66"/>
  <c r="K66"/>
  <c r="M66"/>
  <c r="J66"/>
  <c r="L66"/>
  <c r="G66"/>
  <c r="F79" i="25"/>
  <c r="F80" i="27"/>
  <c r="B19"/>
  <c r="C19"/>
  <c r="F18"/>
  <c r="F4"/>
  <c r="C4"/>
  <c r="B4"/>
  <c r="F72" i="25"/>
  <c r="F69" i="27"/>
  <c r="F77" i="25"/>
  <c r="G61" i="16"/>
  <c r="L61"/>
  <c r="J61"/>
  <c r="I61"/>
  <c r="M61"/>
  <c r="K61"/>
  <c r="F61"/>
  <c r="F63"/>
  <c r="D3" i="23"/>
  <c r="F17" i="25"/>
  <c r="C17"/>
  <c r="F6"/>
  <c r="I63" i="16"/>
  <c r="M63"/>
  <c r="J63"/>
  <c r="L63"/>
  <c r="K63"/>
  <c r="G63"/>
  <c r="E38" i="18"/>
  <c r="E28"/>
  <c r="E55"/>
  <c r="E25" i="17"/>
  <c r="F44" i="27"/>
  <c r="E30" i="17"/>
  <c r="F29" i="16"/>
  <c r="I29"/>
  <c r="K29"/>
  <c r="M29"/>
  <c r="J29"/>
  <c r="L29"/>
  <c r="G29"/>
  <c r="F32"/>
  <c r="I32"/>
  <c r="J32"/>
  <c r="K32"/>
  <c r="L32"/>
  <c r="M32"/>
  <c r="G32"/>
  <c r="F33"/>
  <c r="I33"/>
  <c r="K33"/>
  <c r="M33"/>
  <c r="J33"/>
  <c r="L33"/>
  <c r="G33"/>
  <c r="F34"/>
  <c r="I34"/>
  <c r="K34"/>
  <c r="M34"/>
  <c r="J34"/>
  <c r="L34"/>
  <c r="G34"/>
  <c r="G55"/>
  <c r="F55"/>
  <c r="F78" i="25"/>
  <c r="F79" i="27"/>
  <c r="C18"/>
  <c r="B18"/>
  <c r="B69"/>
  <c r="C69"/>
  <c r="C6" i="25"/>
  <c r="F28" i="16"/>
  <c r="E58" i="18"/>
  <c r="I55" i="16"/>
  <c r="L55"/>
  <c r="K55"/>
  <c r="J55"/>
  <c r="M55"/>
  <c r="E6" i="23"/>
  <c r="F68" i="25"/>
  <c r="C68"/>
  <c r="F6" i="23"/>
  <c r="F43" i="25"/>
  <c r="F74"/>
  <c r="F74" i="27"/>
  <c r="E113" i="25"/>
  <c r="G113"/>
  <c r="J30" i="16"/>
  <c r="F42" i="27"/>
  <c r="G28" i="16"/>
  <c r="I28"/>
  <c r="K28"/>
  <c r="M28"/>
  <c r="J28"/>
  <c r="L28"/>
  <c r="L6" i="23"/>
  <c r="J6"/>
  <c r="H6"/>
  <c r="I6"/>
  <c r="K6"/>
  <c r="G6"/>
  <c r="G30" i="16"/>
  <c r="L30"/>
  <c r="F46" i="25"/>
  <c r="F47" i="27"/>
  <c r="F45" i="25"/>
  <c r="F46" i="27"/>
  <c r="F44" i="25"/>
  <c r="F45" i="27"/>
  <c r="C74"/>
  <c r="B74"/>
  <c r="F75" i="25"/>
  <c r="C75"/>
  <c r="F76" i="27"/>
  <c r="F67" i="25"/>
  <c r="C67"/>
  <c r="E116"/>
  <c r="F30" i="16"/>
  <c r="K30"/>
  <c r="F43" i="27"/>
  <c r="F41" i="25"/>
  <c r="F41" i="27"/>
  <c r="M30" i="16"/>
  <c r="I30"/>
  <c r="F73" i="25"/>
  <c r="C73"/>
  <c r="E18" i="17"/>
  <c r="E32"/>
  <c r="F27" i="16"/>
  <c r="F25"/>
  <c r="F24"/>
  <c r="E4" i="23"/>
  <c r="I27" i="16"/>
  <c r="K27"/>
  <c r="M27"/>
  <c r="J27"/>
  <c r="L27"/>
  <c r="G27"/>
  <c r="D6" i="23"/>
  <c r="F116" i="25"/>
  <c r="G116"/>
  <c r="B43" i="27"/>
  <c r="C43"/>
  <c r="C41"/>
  <c r="B41"/>
  <c r="C76"/>
  <c r="B76"/>
  <c r="F68"/>
  <c r="F7"/>
  <c r="C7"/>
  <c r="F9" i="25"/>
  <c r="C9"/>
  <c r="F42"/>
  <c r="C42"/>
  <c r="F40"/>
  <c r="C40"/>
  <c r="F40" i="27"/>
  <c r="G25" i="16"/>
  <c r="G24"/>
  <c r="E10" i="17"/>
  <c r="I25" i="16"/>
  <c r="I24"/>
  <c r="H4" i="23"/>
  <c r="J25" i="16"/>
  <c r="J24"/>
  <c r="I4" i="23"/>
  <c r="M25" i="16"/>
  <c r="M24"/>
  <c r="L4" i="23"/>
  <c r="L25" i="16"/>
  <c r="L24"/>
  <c r="K4" i="23"/>
  <c r="G4"/>
  <c r="K25" i="16"/>
  <c r="K24"/>
  <c r="J4" i="23"/>
  <c r="B7" i="27"/>
  <c r="B68"/>
  <c r="C68"/>
  <c r="F4" i="23"/>
  <c r="F39" i="25"/>
  <c r="E35" i="17"/>
  <c r="D4" i="23"/>
  <c r="F38" i="27"/>
  <c r="F37" i="25"/>
  <c r="C37"/>
  <c r="F114"/>
  <c r="F7"/>
  <c r="C7"/>
  <c r="F36"/>
  <c r="C36"/>
  <c r="E114"/>
  <c r="B38" i="27"/>
  <c r="C38"/>
  <c r="F37"/>
  <c r="F5"/>
  <c r="C5"/>
  <c r="G114" i="25"/>
  <c r="E39" i="11"/>
  <c r="E38"/>
  <c r="E29"/>
  <c r="E42"/>
  <c r="F64" i="25"/>
  <c r="F65" i="27"/>
  <c r="F66" i="25"/>
  <c r="F67" i="27"/>
  <c r="B5"/>
  <c r="C37"/>
  <c r="B37"/>
  <c r="F61"/>
  <c r="F66"/>
  <c r="G41" i="16"/>
  <c r="I41"/>
  <c r="K41"/>
  <c r="M41"/>
  <c r="J42"/>
  <c r="L42"/>
  <c r="G43"/>
  <c r="I43"/>
  <c r="K43"/>
  <c r="M43"/>
  <c r="J44"/>
  <c r="L44"/>
  <c r="F42"/>
  <c r="F44"/>
  <c r="J41"/>
  <c r="L41"/>
  <c r="G42"/>
  <c r="I42"/>
  <c r="K42"/>
  <c r="M42"/>
  <c r="J43"/>
  <c r="L43"/>
  <c r="G44"/>
  <c r="I44"/>
  <c r="K44"/>
  <c r="M44"/>
  <c r="F43"/>
  <c r="F41"/>
  <c r="J45"/>
  <c r="K45"/>
  <c r="G45"/>
  <c r="L45"/>
  <c r="M45"/>
  <c r="I45"/>
  <c r="F45"/>
  <c r="F64" i="27"/>
  <c r="F63"/>
  <c r="F59" i="25"/>
  <c r="F60" i="27"/>
  <c r="F55" i="25"/>
  <c r="F56" i="27"/>
  <c r="F56" i="25"/>
  <c r="F57" i="27"/>
  <c r="F61" i="25"/>
  <c r="F62" i="27"/>
  <c r="F60" i="25"/>
  <c r="F63"/>
  <c r="F65"/>
  <c r="G40" i="16"/>
  <c r="G35"/>
  <c r="I40"/>
  <c r="K40"/>
  <c r="M40"/>
  <c r="J40"/>
  <c r="L40"/>
  <c r="F54" i="27"/>
  <c r="F40" i="16"/>
  <c r="I35"/>
  <c r="I4"/>
  <c r="F62" i="25"/>
  <c r="C62"/>
  <c r="L35" i="16"/>
  <c r="L4"/>
  <c r="K35"/>
  <c r="K4"/>
  <c r="F35"/>
  <c r="F4"/>
  <c r="J35"/>
  <c r="J4"/>
  <c r="M35"/>
  <c r="M4"/>
  <c r="C63" i="27"/>
  <c r="B63"/>
  <c r="G4" i="16"/>
  <c r="F53" i="25"/>
  <c r="L5" i="23"/>
  <c r="E5"/>
  <c r="J5"/>
  <c r="I5"/>
  <c r="K5"/>
  <c r="H5"/>
  <c r="F53" i="27"/>
  <c r="B53"/>
  <c r="G5" i="23"/>
  <c r="F5"/>
  <c r="A222" i="10"/>
  <c r="A224"/>
  <c r="A223"/>
  <c r="C53" i="27"/>
  <c r="F58"/>
  <c r="F57" i="25"/>
  <c r="C57"/>
  <c r="F48" i="27"/>
  <c r="B48"/>
  <c r="F33" i="24"/>
  <c r="L33"/>
  <c r="F6" i="27"/>
  <c r="C6"/>
  <c r="B6"/>
  <c r="C58"/>
  <c r="B58"/>
  <c r="C48"/>
  <c r="E31" i="11"/>
  <c r="E57"/>
  <c r="C14" i="27"/>
  <c r="C32" i="24"/>
  <c r="C10" i="27"/>
  <c r="D11"/>
  <c r="C15"/>
  <c r="C108"/>
  <c r="C112"/>
  <c r="D113"/>
  <c r="E32" i="24"/>
  <c r="C103" i="27"/>
  <c r="C104"/>
  <c r="C105"/>
  <c r="C29" i="24"/>
  <c r="D10" i="27"/>
  <c r="F52" i="25"/>
  <c r="C52"/>
  <c r="F115"/>
  <c r="C109" i="27"/>
  <c r="D110"/>
  <c r="E29" i="24"/>
  <c r="D106" i="27"/>
  <c r="D5" i="23"/>
  <c r="F47" i="25"/>
  <c r="C47"/>
  <c r="E115"/>
  <c r="F8"/>
  <c r="C8"/>
  <c r="F29" i="24"/>
  <c r="L29"/>
  <c r="C14" i="25"/>
  <c r="C12"/>
  <c r="G115"/>
  <c r="A226" i="10"/>
  <c r="C105" i="25"/>
  <c r="C31" i="24"/>
  <c r="C101" i="25"/>
  <c r="C30" i="24"/>
  <c r="C109" i="25"/>
  <c r="D110"/>
  <c r="C106"/>
  <c r="D107"/>
  <c r="F32" i="24"/>
  <c r="L32"/>
  <c r="E31"/>
  <c r="C102" i="25"/>
  <c r="D103"/>
  <c r="E30" i="24"/>
  <c r="A225" i="10"/>
  <c r="F30" i="24"/>
  <c r="L30"/>
  <c r="F31"/>
  <c r="E33"/>
</calcChain>
</file>

<file path=xl/comments1.xml><?xml version="1.0" encoding="utf-8"?>
<comments xmlns="http://schemas.openxmlformats.org/spreadsheetml/2006/main">
  <authors>
    <author>ACEEE</author>
  </authors>
  <commentList>
    <comment ref="B7" authorId="0">
      <text>
        <r>
          <rPr>
            <b/>
            <sz val="8"/>
            <color indexed="81"/>
            <rFont val="Tahoma"/>
            <family val="2"/>
          </rPr>
          <t>ACEEE:</t>
        </r>
        <r>
          <rPr>
            <sz val="8"/>
            <color indexed="81"/>
            <rFont val="Tahoma"/>
            <family val="2"/>
          </rPr>
          <t xml:space="preserve">
The staff envisioned here are internally-facing employees whose primary role is to manage the operational energy needs of government facilities as well as interface with city agencies to instill a culture of energy efficiency across city government.  Examples of such dedicated staff include energy managers and sustainability directors</t>
        </r>
      </text>
    </comment>
    <comment ref="B8" authorId="0">
      <text>
        <r>
          <rPr>
            <b/>
            <sz val="8"/>
            <color indexed="81"/>
            <rFont val="Tahoma"/>
            <family val="2"/>
          </rPr>
          <t>ACEEE:</t>
        </r>
        <r>
          <rPr>
            <sz val="8"/>
            <color indexed="81"/>
            <rFont val="Tahoma"/>
            <family val="2"/>
          </rPr>
          <t xml:space="preserve">
While one specific standard does not need to be enacted to receive credit, a standard based on the Model Lighting Ordinance, developed by the Illuminating Engineering Society and the International Dark-Sky Association (IES 2011), reflects best practice
</t>
        </r>
      </text>
    </comment>
    <comment ref="B10" authorId="0">
      <text>
        <r>
          <rPr>
            <b/>
            <sz val="8"/>
            <color indexed="81"/>
            <rFont val="Tahoma"/>
            <family val="2"/>
          </rPr>
          <t>ACEEE:</t>
        </r>
        <r>
          <rPr>
            <sz val="8"/>
            <color indexed="81"/>
            <rFont val="Tahoma"/>
            <family val="2"/>
          </rPr>
          <t xml:space="preserve">
An example of an energy efficiency requirement in a procurement policy is a mandate to only purchase ENERGY STAR appliances and/or equipment</t>
        </r>
      </text>
    </comment>
    <comment ref="B11" authorId="0">
      <text>
        <r>
          <rPr>
            <b/>
            <sz val="8"/>
            <color indexed="81"/>
            <rFont val="Tahoma"/>
            <family val="2"/>
          </rPr>
          <t>ACEEE:</t>
        </r>
        <r>
          <rPr>
            <sz val="8"/>
            <color indexed="81"/>
            <rFont val="Tahoma"/>
            <family val="2"/>
          </rPr>
          <t xml:space="preserve">
Because city budget structures vary widely, ACEEE did not develop a standardized methodology for collecting this data.  As such, Self-Scoring Tool users should make their best estimate of the portion of the city budget that meets these criteria within the constraints of their locality’s budget structure.</t>
        </r>
      </text>
    </comment>
    <comment ref="B21" authorId="0">
      <text>
        <r>
          <rPr>
            <b/>
            <sz val="8"/>
            <color indexed="81"/>
            <rFont val="Tahoma"/>
            <family val="2"/>
          </rPr>
          <t>ACEEE:</t>
        </r>
        <r>
          <rPr>
            <sz val="8"/>
            <color indexed="81"/>
            <rFont val="Tahoma"/>
            <family val="2"/>
          </rPr>
          <t xml:space="preserve">
Examples of public reporting on city progress include greenhouse gas inventories, updates detailing the emissions from local government operations, and energy efficiency progress reports detailing city energy usage and actions to improve efficiency. To receive credit this report must be easily available to the public through the city’s website or other means.</t>
        </r>
      </text>
    </comment>
    <comment ref="B22" authorId="0">
      <text>
        <r>
          <rPr>
            <b/>
            <sz val="8"/>
            <color indexed="81"/>
            <rFont val="Tahoma"/>
            <family val="2"/>
          </rPr>
          <t>ACEEE:</t>
        </r>
        <r>
          <rPr>
            <sz val="8"/>
            <color indexed="81"/>
            <rFont val="Tahoma"/>
            <family val="2"/>
          </rPr>
          <t xml:space="preserve">
Cities only receive credit here if  meetings and outreach events publicize progress on city operational efficiency goals.  Outreach events pertaining to community-wide energy efficiency efforts will be scored in the “Community-wide” tab to follow. </t>
        </r>
      </text>
    </comment>
    <comment ref="B23" authorId="0">
      <text>
        <r>
          <rPr>
            <b/>
            <sz val="8"/>
            <color indexed="81"/>
            <rFont val="Tahoma"/>
            <family val="2"/>
          </rPr>
          <t>ACEEE:</t>
        </r>
        <r>
          <rPr>
            <sz val="8"/>
            <color indexed="81"/>
            <rFont val="Tahoma"/>
            <family val="2"/>
          </rPr>
          <t xml:space="preserve">
If there’s a lack of available data on building benchmarking in your city, some subjectivity will be necessary here.  For example, if it is known that the majority of public buildings are benchmarked but the exact square footage is unknown, the “50 – 74.9%” option should be selected in Column D as it would represent over half of city buildings. </t>
        </r>
      </text>
    </comment>
    <comment ref="B31" authorId="0">
      <text>
        <r>
          <rPr>
            <b/>
            <sz val="8"/>
            <color indexed="81"/>
            <rFont val="Tahoma"/>
            <family val="2"/>
          </rPr>
          <t>ACEEE:</t>
        </r>
        <r>
          <rPr>
            <sz val="8"/>
            <color indexed="81"/>
            <rFont val="Tahoma"/>
            <family val="2"/>
          </rPr>
          <t xml:space="preserve">
To qualify under this metric, the target must consist of a quantitative goal.  Scoring is scaled based upon a city’s progress in setting and adopting energy efficiency goals.  For example, those cities who have only set up a stakeholder group to begin formulating goals receive the least amount of points whereas cities that have adopted their goals through a legislative act receive full points</t>
        </r>
      </text>
    </comment>
    <comment ref="B32" authorId="0">
      <text>
        <r>
          <rPr>
            <b/>
            <sz val="8"/>
            <color indexed="81"/>
            <rFont val="Tahoma"/>
            <family val="2"/>
          </rPr>
          <t>ACEEE:</t>
        </r>
        <r>
          <rPr>
            <sz val="8"/>
            <color indexed="81"/>
            <rFont val="Tahoma"/>
            <family val="2"/>
          </rPr>
          <t xml:space="preserve">
This question should be answered using results based on the local government’s own criteria for tracking progress. If there is not enough information available to answer this question using that criteria, then no points should be awarded. </t>
        </r>
      </text>
    </comment>
    <comment ref="B34" authorId="0">
      <text>
        <r>
          <rPr>
            <b/>
            <sz val="8"/>
            <color indexed="81"/>
            <rFont val="Tahoma"/>
            <family val="2"/>
          </rPr>
          <t>ACEEE:</t>
        </r>
        <r>
          <rPr>
            <sz val="8"/>
            <color indexed="81"/>
            <rFont val="Tahoma"/>
            <family val="2"/>
          </rPr>
          <t xml:space="preserve">
While EM&amp;V from an independent firm is required for full credit, cities receive partial credit if they use standardized evaluation and monitoring procedures, including climate registry protocols, to track their progress towards target(s).</t>
        </r>
      </text>
    </comment>
    <comment ref="B35" authorId="0">
      <text>
        <r>
          <rPr>
            <b/>
            <sz val="8"/>
            <color indexed="81"/>
            <rFont val="Tahoma"/>
            <family val="2"/>
          </rPr>
          <t>ACEEE:</t>
        </r>
        <r>
          <rPr>
            <sz val="8"/>
            <color indexed="81"/>
            <rFont val="Tahoma"/>
            <family val="2"/>
          </rPr>
          <t xml:space="preserve">
Examples of incentives include allowing departments to keep cost savings resulting from efficiency upgrades and employee recognition programs recognizing those who are energy efficient.</t>
        </r>
      </text>
    </comment>
    <comment ref="B36" authorId="0">
      <text>
        <r>
          <rPr>
            <b/>
            <sz val="8"/>
            <color indexed="81"/>
            <rFont val="Tahoma"/>
            <family val="2"/>
          </rPr>
          <t>ACEEE:</t>
        </r>
        <r>
          <rPr>
            <sz val="8"/>
            <color indexed="81"/>
            <rFont val="Tahoma"/>
            <family val="2"/>
          </rPr>
          <t xml:space="preserve">
Cities with fuel efficiency requirements and/or requirements for fuel-efficient vehicles types, such as hybrid or electric vehicles, earn points here.  Points are not awarded to cities with requirements for alternative fuel vehicles (e.g. natural gas vehicles) since alternative fuels are not inherently energy-saving.</t>
        </r>
      </text>
    </comment>
    <comment ref="B37" authorId="0">
      <text>
        <r>
          <rPr>
            <b/>
            <sz val="8"/>
            <color indexed="81"/>
            <rFont val="Tahoma"/>
            <family val="2"/>
          </rPr>
          <t>ACEEE:</t>
        </r>
        <r>
          <rPr>
            <sz val="8"/>
            <color indexed="81"/>
            <rFont val="Tahoma"/>
            <family val="2"/>
          </rPr>
          <t xml:space="preserve">
Fleet right-sizing policies or culling requirements ensure the fleet is not too large or specialized for current needs.  An example of other policies or programs for encouraging efficient driving behavior is an anti-idling policy for fleet vehicles.  </t>
        </r>
      </text>
    </comment>
    <comment ref="B39" authorId="0">
      <text>
        <r>
          <rPr>
            <b/>
            <sz val="8"/>
            <color indexed="81"/>
            <rFont val="Tahoma"/>
            <family val="2"/>
          </rPr>
          <t>ACEEE:</t>
        </r>
        <r>
          <rPr>
            <sz val="8"/>
            <color indexed="81"/>
            <rFont val="Tahoma"/>
            <family val="2"/>
          </rPr>
          <t xml:space="preserve">
Full points are earned by cities with energy efficiency requirements for new public buildings, such as ENERGY STAR certification.  Unless energy efficiency is specifically emphasized, cities with above code green building requirements, such as LEED, for public building only receive partial credit as these standards are only partially focused on energy savings.  </t>
        </r>
      </text>
    </comment>
    <comment ref="B40" authorId="0">
      <text>
        <r>
          <rPr>
            <b/>
            <sz val="8"/>
            <color indexed="81"/>
            <rFont val="Tahoma"/>
            <family val="2"/>
          </rPr>
          <t>ACEEE:</t>
        </r>
        <r>
          <rPr>
            <sz val="8"/>
            <color indexed="81"/>
            <rFont val="Tahoma"/>
            <family val="2"/>
          </rPr>
          <t xml:space="preserve">
Local governments with portfolio-wide energy performance strategies that include capital and operational improvements to specific buildings and government facilities, receive full credit.  Cities that are Better Building Challenge Partners with commitments to energy savings in municipal buildings also receive full credit.  Cities that had made significant efficiency retrofit investments, but do not have a comprehensive strategy, receive half credit.</t>
        </r>
      </text>
    </comment>
  </commentList>
</comments>
</file>

<file path=xl/comments2.xml><?xml version="1.0" encoding="utf-8"?>
<comments xmlns="http://schemas.openxmlformats.org/spreadsheetml/2006/main">
  <authors>
    <author>ACEEE</author>
  </authors>
  <commentList>
    <comment ref="B7" authorId="0">
      <text>
        <r>
          <rPr>
            <b/>
            <sz val="8"/>
            <color indexed="81"/>
            <rFont val="Tahoma"/>
            <family val="2"/>
          </rPr>
          <t>ACEEE:</t>
        </r>
        <r>
          <rPr>
            <sz val="8"/>
            <color indexed="81"/>
            <rFont val="Tahoma"/>
            <family val="2"/>
          </rPr>
          <t xml:space="preserve">
The staff envisioned here are externally-facing employees whose primary role is to implement community-wide energy efficiency goals through robust interaction and collaboration with community stakeholders. </t>
        </r>
      </text>
    </comment>
    <comment ref="B8" authorId="0">
      <text>
        <r>
          <rPr>
            <b/>
            <sz val="8"/>
            <color indexed="81"/>
            <rFont val="Tahoma"/>
            <family val="2"/>
          </rPr>
          <t>ACEEE:</t>
        </r>
        <r>
          <rPr>
            <sz val="8"/>
            <color indexed="81"/>
            <rFont val="Tahoma"/>
            <family val="2"/>
          </rPr>
          <t xml:space="preserve">
Cities receive points here if they have programs in place to mitigate the urban heat island effect.  For example, both New York City and Houston have set goals to plant one million trees in the coming years
</t>
        </r>
      </text>
    </comment>
    <comment ref="B16" authorId="0">
      <text>
        <r>
          <rPr>
            <b/>
            <sz val="8"/>
            <color indexed="81"/>
            <rFont val="Tahoma"/>
            <family val="2"/>
          </rPr>
          <t>ACEEE:</t>
        </r>
        <r>
          <rPr>
            <sz val="8"/>
            <color indexed="81"/>
            <rFont val="Tahoma"/>
            <family val="2"/>
          </rPr>
          <t xml:space="preserve">
Examples include community-wide greenhouse gas inventories, sustainability plan updates detailing progress on community goals and related efficiency actions taken, public meetings detailing progress, and energy progress reports. To receive credit this report must be easily available to the public through the city’s website or other means. </t>
        </r>
      </text>
    </comment>
    <comment ref="B24" authorId="0">
      <text>
        <r>
          <rPr>
            <b/>
            <sz val="8"/>
            <color indexed="81"/>
            <rFont val="Tahoma"/>
            <family val="2"/>
          </rPr>
          <t>ACEEE:</t>
        </r>
        <r>
          <rPr>
            <sz val="8"/>
            <color indexed="81"/>
            <rFont val="Tahoma"/>
            <family val="2"/>
          </rPr>
          <t xml:space="preserve">
Targets for energy efficiency, energy consumption, energy intensity, and greenhouse gas emission reductions all receive points here, but renewable energy targets do not.  Scoring is scaled based upon a city’s progress in setting and implementing goals with cities only having formed a community stakeholder group receiving the least amount of points and cities having formally adopted targets receiving the most points.  To receive full credit, the targets must be adopted through executive order or city resolution and integrated into the city’s comprehensive plan</t>
        </r>
      </text>
    </comment>
    <comment ref="B27" authorId="0">
      <text>
        <r>
          <rPr>
            <b/>
            <sz val="8"/>
            <color indexed="81"/>
            <rFont val="Tahoma"/>
            <family val="2"/>
          </rPr>
          <t>ACEEE:</t>
        </r>
        <r>
          <rPr>
            <sz val="8"/>
            <color indexed="81"/>
            <rFont val="Tahoma"/>
            <family val="2"/>
          </rPr>
          <t xml:space="preserve">
This question should be answered using results based on the criteria established by the community or local government for tracking progress. If there is not enough information available to answer this question using that criteria, then no points should be awarded. </t>
        </r>
      </text>
    </comment>
    <comment ref="F28" authorId="0">
      <text>
        <r>
          <rPr>
            <b/>
            <sz val="8"/>
            <color indexed="81"/>
            <rFont val="Tahoma"/>
            <family val="2"/>
          </rPr>
          <t>ACEEE:</t>
        </r>
        <r>
          <rPr>
            <sz val="8"/>
            <color indexed="81"/>
            <rFont val="Tahoma"/>
            <family val="2"/>
          </rPr>
          <t xml:space="preserve">
Click on the link to proceed to the CHP Installation database.  Once there, click on your state in the map or select your state from the dropdown.  Once clicked or selected, the next webpage displays all CHP facilities within the state listed alphabetically by locality name.  Scroll down until you find the name of your community in Column 2 and total the combined capacity of all CHP facilities in your community by tallying the corresponding capacities of those units, which is found in Column 10.  If the community does not have any entries, there are no CHP units in the locality.</t>
        </r>
      </text>
    </comment>
    <comment ref="F29" authorId="0">
      <text>
        <r>
          <rPr>
            <b/>
            <sz val="8"/>
            <color indexed="81"/>
            <rFont val="Tahoma"/>
            <family val="2"/>
          </rPr>
          <t>ACEEE:</t>
        </r>
        <r>
          <rPr>
            <sz val="8"/>
            <color indexed="81"/>
            <rFont val="Tahoma"/>
            <family val="2"/>
          </rPr>
          <t xml:space="preserve">
To ascertain whether CHP facilities are integrated with district energy, return to the CHP Installation Database and find the entries for CHP facilities located within the community.  Once those are located, scroll over to Column 5 entitled “Application” and see whether any of those units’ application is “district energy.”  If any are district energy, total the amount of CHP facilities with district energy in the community.  If no CHP units have “district energy” as the application, no CHP units are integrated with district energy.  If this is the case or if the community doesn’t have any CHP units, proceed to this website (http://www.districtenergy.org/u-s-district-energy-systems-map/) to ascertain whether the community has standalone district energy facilities.  Once on the landing page, all district energy facilities are organized by state and then locality name.   </t>
        </r>
      </text>
    </comment>
    <comment ref="B30" authorId="0">
      <text>
        <r>
          <rPr>
            <b/>
            <sz val="8"/>
            <color indexed="81"/>
            <rFont val="Tahoma"/>
            <family val="2"/>
          </rPr>
          <t>ACEEE:</t>
        </r>
        <r>
          <rPr>
            <sz val="8"/>
            <color indexed="81"/>
            <rFont val="Tahoma"/>
            <family val="2"/>
          </rPr>
          <t xml:space="preserve">
While related to the question in B8, this question is meant to reward cities that have taken additional steps beyond implementing standalone programs and have committed to long-term policies to counteract the urban heat island effect.  For example, cities with policies such as cool-roof requirements or tree-planting ordinances would earn points here because these policies ensure the continual implementation of urban heat island mitigation strategies. </t>
        </r>
      </text>
    </comment>
  </commentList>
</comments>
</file>

<file path=xl/comments3.xml><?xml version="1.0" encoding="utf-8"?>
<comments xmlns="http://schemas.openxmlformats.org/spreadsheetml/2006/main">
  <authors>
    <author>ACEEE</author>
  </authors>
  <commentList>
    <comment ref="B11" authorId="0">
      <text>
        <r>
          <rPr>
            <b/>
            <sz val="8"/>
            <color indexed="81"/>
            <rFont val="Tahoma"/>
            <family val="2"/>
          </rPr>
          <t>ACEEE:</t>
        </r>
        <r>
          <rPr>
            <sz val="8"/>
            <color indexed="81"/>
            <rFont val="Tahoma"/>
            <family val="2"/>
          </rPr>
          <t xml:space="preserve">
If a state-wide building code is enacted, the state may still give local governments the ability to adopt more stringent code requirements than those adopted by the state.  These more stringent codes are sometimes known as stretch codes.  For this metric, cities with local authority are scored based upon whether they have used their local authority to enact these more stringent stretch codes.  Because scoring is dependent upon building code jurisdictional authority and/or the implementation of stretch codes, questions may disappear depending upon the answers provided to initial questions in the Building Policies tab.  If a cell in Column B is blank, skip it and proceed to the next one. </t>
        </r>
      </text>
    </comment>
    <comment ref="F11" authorId="0">
      <text>
        <r>
          <rPr>
            <b/>
            <sz val="8"/>
            <color indexed="81"/>
            <rFont val="Tahoma"/>
            <family val="2"/>
          </rPr>
          <t>ACEEE:</t>
        </r>
        <r>
          <rPr>
            <sz val="8"/>
            <color indexed="81"/>
            <rFont val="Tahoma"/>
            <family val="2"/>
          </rPr>
          <t xml:space="preserve">
Follow Procedure 1 for info on state energy codes and follow Procedure 2 for info on more stringent city energy stretch codes.
1. Once you have clicked through to the Online Code Environment and Advocacy Network website, click the map of the United States that is entitled “Residential Adoption.”  Once selected, a larger map of the United States will be displayed that allows users to click on a state of their choice to ascertain state-specific info.  Click on the name of the state which the community is located in.  Once there, the current state code will be displayed under “Current Code” and the third line entitled “Based on:” will provide the data necessary to answer this question. 
2. Follow Procedure 1 to navigate to the page with “Current Code” information.  Once on that page, click the tab entitled “State Toolkit.”  Once the “State Toolkit” tab is opened, scroll down to the box entitled “Allow Innovation at the Local Level” for information on initiatives in specific communities.  If it simply states that innovation is allowed within communities but does not provide specifics on communities, locality research will be necessary.
</t>
        </r>
      </text>
    </comment>
    <comment ref="F12" authorId="0">
      <text>
        <r>
          <rPr>
            <b/>
            <sz val="8"/>
            <color indexed="81"/>
            <rFont val="Tahoma"/>
            <family val="2"/>
          </rPr>
          <t>ACEEE:</t>
        </r>
        <r>
          <rPr>
            <sz val="8"/>
            <color indexed="81"/>
            <rFont val="Tahoma"/>
            <family val="2"/>
          </rPr>
          <t xml:space="preserve">
If answering this question, please following Procedure 1 discussed in F13.</t>
        </r>
      </text>
    </comment>
    <comment ref="B13" authorId="0">
      <text>
        <r>
          <rPr>
            <b/>
            <sz val="8"/>
            <color indexed="81"/>
            <rFont val="Tahoma"/>
            <family val="2"/>
          </rPr>
          <t>ACEEE:</t>
        </r>
        <r>
          <rPr>
            <sz val="8"/>
            <color indexed="81"/>
            <rFont val="Tahoma"/>
            <family val="2"/>
          </rPr>
          <t xml:space="preserve">
If a state-wide building code is enacted, the state may still give local governments the ability to adopt more stringent code requirements than those adopted by the state.  These more stringent codes are sometimes known as stretch codes.  For this metric, cities with local authority are scored based upon whether they have used their local authority to enact these more stringent stretch codes.  Because scoring is dependent upon building code jurisdictional authority and/or the implementation of stretch codes, questions may disappear depending upon the answers provided to initial questions in the Building Policies tab.  If a cell in Column B is blank, skip it and proceed to the next one.</t>
        </r>
      </text>
    </comment>
    <comment ref="F13" authorId="0">
      <text>
        <r>
          <rPr>
            <b/>
            <sz val="8"/>
            <color indexed="81"/>
            <rFont val="Tahoma"/>
            <family val="2"/>
          </rPr>
          <t>ACEEE:</t>
        </r>
        <r>
          <rPr>
            <sz val="8"/>
            <color indexed="81"/>
            <rFont val="Tahoma"/>
            <family val="2"/>
          </rPr>
          <t xml:space="preserve">
Follow Procedure 1 for info on state energy codes and follow Procedure 2 for info on more stringent city energy stretch codes.
1. Once you have clicked through to the Online Code Environment and Advocacy Network website, click the map of the United States that is entitled “Commercial Adoption.”  Once selected, a larger map of the United States will be displayed that allows users to click on a state of their choice to ascertain state-specific info.  Click on the name of the state which the community is located in.  Once there, the current state commercial energy code will be displayed under “Current Code” and the third line entitled “Based on:” will provide the data necessary to answer this question. 
2. Follow Procedure 1 to navigate to the page with “Current Code” information.  Once on that page, click the tab entitled “State Toolkit.”  Once the “State Toolkit” tab is opened, scroll down to the box entitled “Allow Innovation at the Local Level” for information on initiatives in specific communities.  If it simply states that innovation is allowed within communities but does not provide specifics on communities, locality research will be necessary.
</t>
        </r>
      </text>
    </comment>
    <comment ref="F14" authorId="0">
      <text>
        <r>
          <rPr>
            <b/>
            <sz val="8"/>
            <color indexed="81"/>
            <rFont val="Tahoma"/>
            <family val="2"/>
          </rPr>
          <t>ACEEE:</t>
        </r>
        <r>
          <rPr>
            <sz val="8"/>
            <color indexed="81"/>
            <rFont val="Tahoma"/>
            <family val="2"/>
          </rPr>
          <t xml:space="preserve">
If answering this question, please following Procedure 1 discussed in F15.</t>
        </r>
      </text>
    </comment>
    <comment ref="B15" authorId="0">
      <text>
        <r>
          <rPr>
            <b/>
            <sz val="8"/>
            <color indexed="81"/>
            <rFont val="Tahoma"/>
            <family val="2"/>
          </rPr>
          <t>ACEEE:</t>
        </r>
        <r>
          <rPr>
            <sz val="8"/>
            <color indexed="81"/>
            <rFont val="Tahoma"/>
            <family val="2"/>
          </rPr>
          <t xml:space="preserve">
Because city budget structures vary widely, Self-Scoring Tool users should develop their own methodology to calculate this value.  However, users should ensure that the building code spending and residential construction spending figures are from the most recent year for which data is available for both types of spending.  For further discussion of the methodologies that ACEEE used to calculate this value for large cities, please see the City Energy Efficiency Scorecard </t>
        </r>
      </text>
    </comment>
    <comment ref="F15" authorId="0">
      <text>
        <r>
          <rPr>
            <b/>
            <sz val="8"/>
            <color indexed="81"/>
            <rFont val="Tahoma"/>
            <family val="2"/>
          </rPr>
          <t>ACEEE:</t>
        </r>
        <r>
          <rPr>
            <sz val="8"/>
            <color indexed="81"/>
            <rFont val="Tahoma"/>
            <family val="2"/>
          </rPr>
          <t xml:space="preserve">
To gather information on Residential Construction Spending, click on the link to proceed to the U.S. Census website.  Once there, select the “Annual” spending option and select the year which matches the year of the data collected for city spending on building code compliance.  Then, select the state which the community is located in and click the Submit button.  This will lead to a dropdown with all communities in a particular state.  Select the name of the desired community.  This will bring up a page entitled “Annual New Privately-Owned Residential Building Permits.”  Scroll down to the bottom row of this page to find the Total Construction Costs under the heading “Estimates with Imputation.”
To gather information on city spending on building code compliance, locate a recent annual budget by browsing the city website or searching in a web browser.  Once located, find the total spending on building code compliance by the department or agency that has jurisdiction over code compliance.
</t>
        </r>
      </text>
    </comment>
    <comment ref="B23" authorId="0">
      <text>
        <r>
          <rPr>
            <b/>
            <sz val="8"/>
            <color indexed="81"/>
            <rFont val="Tahoma"/>
            <family val="2"/>
          </rPr>
          <t>ACEEE:</t>
        </r>
        <r>
          <rPr>
            <sz val="8"/>
            <color indexed="81"/>
            <rFont val="Tahoma"/>
            <family val="2"/>
          </rPr>
          <t xml:space="preserve">
Examples of upfront support to developers/owners include providing education prior to permit issuance in the form workshops, training sessions, consultations, or application reviews by city staff with an eye towards energy code compliance.</t>
        </r>
      </text>
    </comment>
    <comment ref="B24" authorId="0">
      <text>
        <r>
          <rPr>
            <b/>
            <sz val="8"/>
            <color indexed="81"/>
            <rFont val="Tahoma"/>
            <family val="2"/>
          </rPr>
          <t>ACEEE:</t>
        </r>
        <r>
          <rPr>
            <sz val="8"/>
            <color indexed="81"/>
            <rFont val="Tahoma"/>
            <family val="2"/>
          </rPr>
          <t xml:space="preserve">
Energy audit requirements are used as a tool to provide information about current energy usage in existing buildings, and to identify opportunities to improve energy performance.  For example, the Energy Conservation Audit and Disclosure ordinance in Austin, TX requires all homes 10 years and older to have an energy audit performed at the time of sale and requires the results of the audit to be disclosed to prospective buyers.</t>
        </r>
      </text>
    </comment>
    <comment ref="B26" authorId="0">
      <text>
        <r>
          <rPr>
            <b/>
            <sz val="8"/>
            <color indexed="81"/>
            <rFont val="Tahoma"/>
            <family val="2"/>
          </rPr>
          <t>ACEEE:</t>
        </r>
        <r>
          <rPr>
            <sz val="8"/>
            <color indexed="81"/>
            <rFont val="Tahoma"/>
            <family val="2"/>
          </rPr>
          <t xml:space="preserve">
</t>
        </r>
        <r>
          <rPr>
            <b/>
            <sz val="8"/>
            <color indexed="81"/>
            <rFont val="Tahoma"/>
            <family val="2"/>
          </rPr>
          <t>In D26, please select the number which corresponds to the amount of best practices your city has implemented (up to a total of 4).</t>
        </r>
        <r>
          <rPr>
            <sz val="8"/>
            <color indexed="81"/>
            <rFont val="Tahoma"/>
            <family val="2"/>
          </rPr>
          <t xml:space="preserve">
Best practices for commercial benchmarking and energy disclosure include any of the following:
• Benchmarking help centers or hotlines, training seminars, and/or posting of guidance documents for building managers and owners 
• A set schedule with compliance deadlines, fines for non-compliance, and/or a mechanism for enforcement
• A city-wide report providing compliance data and/or analysis of building energy use data
• A requirement for commercial buildings to publically disclose energy data in an online document or database
</t>
        </r>
      </text>
    </comment>
    <comment ref="B27" authorId="0">
      <text>
        <r>
          <rPr>
            <b/>
            <sz val="8"/>
            <color indexed="81"/>
            <rFont val="Tahoma"/>
            <family val="2"/>
          </rPr>
          <t>ACEEE:</t>
        </r>
        <r>
          <rPr>
            <sz val="8"/>
            <color indexed="81"/>
            <rFont val="Tahoma"/>
            <family val="2"/>
          </rPr>
          <t xml:space="preserve">
Residential benchmarking, rating, and energy use disclosure policies generally take one of four forms: 
(1) disclosure of utility bills, 
(2) disclosure of energy efficiency features, 
(3) energy audit requirements and disclosure of audit report results, and 
(4) benchmarking
</t>
        </r>
      </text>
    </comment>
    <comment ref="B28" authorId="0">
      <text>
        <r>
          <rPr>
            <b/>
            <sz val="8"/>
            <color indexed="81"/>
            <rFont val="Tahoma"/>
            <family val="2"/>
          </rPr>
          <t xml:space="preserve">ACEEE:
In D28, please select the number which corresponds to the amount of best practices your city has implemented (up to a total of 3).  
</t>
        </r>
        <r>
          <rPr>
            <sz val="8"/>
            <color indexed="81"/>
            <rFont val="Tahoma"/>
            <family val="2"/>
          </rPr>
          <t xml:space="preserve">
Best practices for residential benchmarking and energy use disclosure include the following:
• Benchmarking help centers or hotlines, training seminars, and/or  posting of guidance documents for building managers and owners 
• A set schedule with compliance deadlines, fines for non-compliance, and/or a mechanism for enforcement
• A requirement for residential buildings to publically disclose energy use data 
</t>
        </r>
      </text>
    </comment>
    <comment ref="B29" authorId="0">
      <text>
        <r>
          <rPr>
            <b/>
            <sz val="8"/>
            <color indexed="81"/>
            <rFont val="Tahoma"/>
            <family val="2"/>
          </rPr>
          <t>ACEEE:</t>
        </r>
        <r>
          <rPr>
            <sz val="8"/>
            <color indexed="81"/>
            <rFont val="Tahoma"/>
            <family val="2"/>
          </rPr>
          <t xml:space="preserve">
Rather than disclosure of arbitrary “green features” on the MLS, disclosure of energy usage and energy efficiency characteristics (such as HERS, LEED, or other green ratings) are preferable and earn points here</t>
        </r>
      </text>
    </comment>
    <comment ref="F37" authorId="0">
      <text>
        <r>
          <rPr>
            <b/>
            <sz val="8"/>
            <color indexed="81"/>
            <rFont val="Tahoma"/>
            <family val="2"/>
          </rPr>
          <t>ACEEE:</t>
        </r>
        <r>
          <rPr>
            <sz val="8"/>
            <color indexed="81"/>
            <rFont val="Tahoma"/>
            <family val="2"/>
          </rPr>
          <t xml:space="preserve">
Once on the Better Buildings Challenge website, click on the “State, Municipal and Community Partners” button located under “Current List of Better Buildings Challenge Partners.”  Then, click “Community Partners.”  If the community is listed here, the community has established an energy savings target for buildings and you should award the locality points.  </t>
        </r>
      </text>
    </comment>
    <comment ref="B38" authorId="0">
      <text>
        <r>
          <rPr>
            <b/>
            <sz val="8"/>
            <color indexed="81"/>
            <rFont val="Tahoma"/>
            <family val="2"/>
          </rPr>
          <t>ACEEE:</t>
        </r>
        <r>
          <rPr>
            <sz val="8"/>
            <color indexed="81"/>
            <rFont val="Tahoma"/>
            <family val="2"/>
          </rPr>
          <t xml:space="preserve">
A city is seen as an active advocate for code improvement if it meets one of the following criteria:
• City official participation in technical advisory groups for building code development
• Public comments submitted in support of code upgrades during the state code change rulemaking process
• Active advocacy and lobbying efforts 
</t>
        </r>
      </text>
    </comment>
    <comment ref="B39" authorId="0">
      <text>
        <r>
          <rPr>
            <b/>
            <sz val="8"/>
            <color indexed="81"/>
            <rFont val="Tahoma"/>
            <family val="2"/>
          </rPr>
          <t>ACEEE:</t>
        </r>
        <r>
          <rPr>
            <sz val="8"/>
            <color indexed="81"/>
            <rFont val="Tahoma"/>
            <family val="2"/>
          </rPr>
          <t xml:space="preserve">
A city is seen as an active advocate for code improvement if it meets one of the following criteria:
• City official participation in technical advisory groups for building code development
• Public comments submitted in support of code upgrades during the state code change rulemaking process
• Active advocacy and lobbying efforts </t>
        </r>
      </text>
    </comment>
    <comment ref="B40" authorId="0">
      <text>
        <r>
          <rPr>
            <b/>
            <sz val="8"/>
            <color indexed="81"/>
            <rFont val="Tahoma"/>
            <family val="2"/>
          </rPr>
          <t>ACEEE:</t>
        </r>
        <r>
          <rPr>
            <sz val="8"/>
            <color indexed="81"/>
            <rFont val="Tahoma"/>
            <family val="2"/>
          </rPr>
          <t xml:space="preserve">
Alternate code compliance can take the form of third-party performance testing programs for energy code compliance or third-party plan review programs  </t>
        </r>
      </text>
    </comment>
    <comment ref="B48" authorId="0">
      <text>
        <r>
          <rPr>
            <b/>
            <sz val="8"/>
            <color indexed="81"/>
            <rFont val="Tahoma"/>
            <family val="2"/>
          </rPr>
          <t xml:space="preserve">ACEEE:
In D48, please select the number which corresponds to the amount of incentives your city has implemented (up to a total of 6).  Please account for residential and commercial incentives separately.  For example, if density bonuses are available to both residential and commercial buildings, select "2" rather than "1." 
</t>
        </r>
        <r>
          <rPr>
            <sz val="8"/>
            <color indexed="81"/>
            <rFont val="Tahoma"/>
            <family val="2"/>
          </rPr>
          <t xml:space="preserve">Examples of non-financial incentives include speeding up the permitting process for green building practices and providing density bonuses that allow for the construction of larger and/or higher structures.  Examples of financial incentives include tax credits, permit fee reductions or waivers, grants, or property tax abatements.  Furthermore, examples of financing mechanisms that earn points here include but are not limited to Property Assessed Clean Energy Financing (PACE), Tax Increment Financing (TIF), and revolving loan funds
</t>
        </r>
      </text>
    </comment>
    <comment ref="B49" authorId="0">
      <text>
        <r>
          <rPr>
            <b/>
            <sz val="8"/>
            <color indexed="81"/>
            <rFont val="Tahoma"/>
            <family val="2"/>
          </rPr>
          <t>ACEEE:</t>
        </r>
        <r>
          <rPr>
            <sz val="8"/>
            <color indexed="81"/>
            <rFont val="Tahoma"/>
            <family val="2"/>
          </rPr>
          <t xml:space="preserve">
The program does not need to be administered by the local government for the city to qualify for points here; the program simply needs to be available in your region </t>
        </r>
      </text>
    </comment>
    <comment ref="F49" authorId="0">
      <text>
        <r>
          <rPr>
            <b/>
            <sz val="8"/>
            <color indexed="81"/>
            <rFont val="Tahoma"/>
            <family val="2"/>
          </rPr>
          <t>ACEEE:</t>
        </r>
        <r>
          <rPr>
            <sz val="8"/>
            <color indexed="81"/>
            <rFont val="Tahoma"/>
            <family val="2"/>
          </rPr>
          <t xml:space="preserve">
Once you have clicked through to the ENERGY STAR website, you will see a U.S. map in which all states where Home Performances are available are colored blue.  If the user community’s state is colored blue, click on it and read through the different programs offered within the state.  If one of the programs is available to residents of the community, award points to the community.  If the programs do not exist within the community or state, the community receives no points.   </t>
        </r>
      </text>
    </comment>
    <comment ref="B50" authorId="0">
      <text>
        <r>
          <rPr>
            <b/>
            <sz val="8"/>
            <color indexed="81"/>
            <rFont val="Tahoma"/>
            <family val="2"/>
          </rPr>
          <t>ACEEE:</t>
        </r>
        <r>
          <rPr>
            <sz val="8"/>
            <color indexed="81"/>
            <rFont val="Tahoma"/>
            <family val="2"/>
          </rPr>
          <t xml:space="preserve">
Previous questions have already accounted for whether your city has stringent energy codes that apply to buildings city-wide.  This question is meant to capture any additional effort a city has made to extend more stringent, above-code requirements to a specific category of buildings. For example, cities may have green building requirements for buildings built with public funds or commercial and residential construction over a certain square footage. For an above-code green building requirement to receive points for this metric, energy efficiency had to be explicitly noted in the policy or in the building standard referenced by the policy.</t>
        </r>
      </text>
    </comment>
    <comment ref="B51" authorId="0">
      <text>
        <r>
          <rPr>
            <b/>
            <sz val="8"/>
            <color indexed="81"/>
            <rFont val="Tahoma"/>
            <family val="2"/>
          </rPr>
          <t>ACEEE:</t>
        </r>
        <r>
          <rPr>
            <sz val="8"/>
            <color indexed="81"/>
            <rFont val="Tahoma"/>
            <family val="2"/>
          </rPr>
          <t xml:space="preserve">
Retrofit requirements are used to address the energy use of existing buildings.  For example, some policies require certain energy efficiency measures to be installed before a home is sold or rented. Other policies require efficiency improvements to the worst performing buildings. </t>
        </r>
      </text>
    </comment>
  </commentList>
</comments>
</file>

<file path=xl/comments4.xml><?xml version="1.0" encoding="utf-8"?>
<comments xmlns="http://schemas.openxmlformats.org/spreadsheetml/2006/main">
  <authors>
    <author>ACEEE</author>
  </authors>
  <commentList>
    <comment ref="B6" authorId="0">
      <text>
        <r>
          <rPr>
            <b/>
            <sz val="8"/>
            <color indexed="81"/>
            <rFont val="Tahoma"/>
            <family val="2"/>
          </rPr>
          <t>ACEEE:</t>
        </r>
        <r>
          <rPr>
            <sz val="8"/>
            <color indexed="81"/>
            <rFont val="Tahoma"/>
            <family val="2"/>
          </rPr>
          <t xml:space="preserve">
The ability to influence spending and require utilities to invest in energy efficiency varies between cities with municipally- owned utilities (munis) and investor-owned utilities (IOUs). As a result, different scoring regimes exist depending upon whether the utility serving your community is an IOU or a muni.   </t>
        </r>
      </text>
    </comment>
    <comment ref="B7" authorId="0">
      <text>
        <r>
          <rPr>
            <b/>
            <sz val="8"/>
            <color indexed="81"/>
            <rFont val="Tahoma"/>
            <family val="2"/>
          </rPr>
          <t>ACEEE:</t>
        </r>
        <r>
          <rPr>
            <sz val="8"/>
            <color indexed="81"/>
            <rFont val="Tahoma"/>
            <family val="2"/>
          </rPr>
          <t xml:space="preserve">
As with electric utilities, the ability to influence spending and require gas utilities to invest in energy efficiency varies between cities with municipally owned utilities (munis) and investor owned utilities (IOUs). As a result, different scoring regimes exist depending upon whether the utility serving your community is an IOU or a muni.     </t>
        </r>
      </text>
    </comment>
    <comment ref="E8" authorId="0">
      <text>
        <r>
          <rPr>
            <b/>
            <sz val="8"/>
            <color indexed="81"/>
            <rFont val="Tahoma"/>
            <family val="2"/>
          </rPr>
          <t>ACEEE:</t>
        </r>
        <r>
          <rPr>
            <sz val="8"/>
            <color indexed="81"/>
            <rFont val="Tahoma"/>
            <family val="2"/>
          </rPr>
          <t xml:space="preserve">
Once you have clicked through to the EIA website, select the Form 861 data for 2011 by clicking on the link on the upper right-hand part of the webpage.  Once downloaded, open File 1.  Once File 1 is open in Excel, sort the data by the name of your local utility.  After sorting, scroll over to Column Y entitled “RETAIL_REVENUES” to ascertain the 2011 revenues   </t>
        </r>
      </text>
    </comment>
    <comment ref="E9" authorId="0">
      <text>
        <r>
          <rPr>
            <b/>
            <sz val="8"/>
            <color indexed="81"/>
            <rFont val="Tahoma"/>
            <family val="2"/>
          </rPr>
          <t>ACEEE:</t>
        </r>
        <r>
          <rPr>
            <sz val="8"/>
            <color indexed="81"/>
            <rFont val="Tahoma"/>
            <family val="2"/>
          </rPr>
          <t xml:space="preserve">
Once you have clicked through to the EIA website, select the Form 861 data for 2011 by clicking on the link on the upper right-hand part of the webpage.  Once downloaded, open File 3.  Once File 3 is open in Excel, sort the data by the name of your local utility.  After sorting, scroll over to Column BI entitled “DIRECTCOSTEEF” to ascertain the 2011 energy efficiency spending   </t>
        </r>
      </text>
    </comment>
    <comment ref="E10" authorId="0">
      <text>
        <r>
          <rPr>
            <b/>
            <sz val="8"/>
            <color indexed="81"/>
            <rFont val="Tahoma"/>
            <family val="2"/>
          </rPr>
          <t>ACEEE:</t>
        </r>
        <r>
          <rPr>
            <sz val="8"/>
            <color indexed="81"/>
            <rFont val="Tahoma"/>
            <family val="2"/>
          </rPr>
          <t xml:space="preserve">
Once you have clicked through to the EIA website, click the dropdown button located next to “Report” and select “176 Types of Operations and Sector Items.”  After selecting this report, scroll down on the updated chart until you locate the name of your local gas utility under the “company name” column.  Once you have located your utility, scroll to the right until you have located the column entitled “Residential Total Customers”    </t>
        </r>
      </text>
    </comment>
    <comment ref="E11" authorId="0">
      <text>
        <r>
          <rPr>
            <b/>
            <sz val="8"/>
            <color indexed="81"/>
            <rFont val="Tahoma"/>
            <family val="2"/>
          </rPr>
          <t xml:space="preserve">ACEEE:
</t>
        </r>
        <r>
          <rPr>
            <sz val="8"/>
            <color indexed="81"/>
            <rFont val="Tahoma"/>
            <family val="2"/>
          </rPr>
          <t xml:space="preserve">Because there is no centralized source for this data, users must compile research on the major natural gas utility that serves the community.  First, search the state public utility commission (PUC) or public service commission (PSC) website for natural gas utility energy efficiency reports, which are generally required to be filed yearly.  To do this, go to the PUC or PSC website and search through either the official filings or proceedings for these reports.  Key search terms include “natural gas energy efficiency spending.”  Another avenue to get this data is to search the utility’s website directly for any public energy efficiency reports or sustainability reports.  It should be noted that this is a difficult piece of data to ascertain and ACEEE consulted with city and utility staff to receive this information for peer communities. </t>
        </r>
      </text>
    </comment>
    <comment ref="E12" authorId="0">
      <text>
        <r>
          <rPr>
            <b/>
            <sz val="8"/>
            <color indexed="81"/>
            <rFont val="Tahoma"/>
            <family val="2"/>
          </rPr>
          <t>ACEEE:</t>
        </r>
        <r>
          <rPr>
            <sz val="8"/>
            <color indexed="81"/>
            <rFont val="Tahoma"/>
            <family val="2"/>
          </rPr>
          <t xml:space="preserve">
Once you have clicked through to the EIA website, select the Form 861 data for 2011 by clicking on the link on the upper right-hand part of the webpage.  Once downloaded, open File 1.  Once File 1 is open in Excel, sort the data by the name of your local utility.  After sorting, scroll over to Column S entitled “RETAIL_SALES” to ascertain the 2011 volume of electricity sales   </t>
        </r>
      </text>
    </comment>
    <comment ref="E13" authorId="0">
      <text>
        <r>
          <rPr>
            <b/>
            <sz val="8"/>
            <color indexed="81"/>
            <rFont val="Tahoma"/>
            <family val="2"/>
          </rPr>
          <t>ACEEE:</t>
        </r>
        <r>
          <rPr>
            <sz val="8"/>
            <color indexed="81"/>
            <rFont val="Tahoma"/>
            <family val="2"/>
          </rPr>
          <t xml:space="preserve">
Once you have clicked through to the EIA website, select the Form 861 data for 2011 by clicking on the link on the upper right-hand part of the webpage.  Once downloaded, open File 3.  Once File 3 is open in Excel, sort the data by the name of your local utility.  After sorting, scroll over to Column K entitled “ENERGYEFFINCTOT” to ascertain the 2011 reported energy savings</t>
        </r>
      </text>
    </comment>
    <comment ref="B19" authorId="0">
      <text>
        <r>
          <rPr>
            <b/>
            <sz val="8"/>
            <color indexed="81"/>
            <rFont val="Tahoma"/>
            <family val="2"/>
          </rPr>
          <t>ACEEE:</t>
        </r>
        <r>
          <rPr>
            <sz val="8"/>
            <color indexed="81"/>
            <rFont val="Tahoma"/>
            <family val="2"/>
          </rPr>
          <t xml:space="preserve">
The answer to this is automatically calculated from the basic utility information provided above, but please select the description in D19 that best fits the answer.</t>
        </r>
      </text>
    </comment>
    <comment ref="B20" authorId="0">
      <text>
        <r>
          <rPr>
            <b/>
            <sz val="8"/>
            <color indexed="81"/>
            <rFont val="Tahoma"/>
            <family val="2"/>
          </rPr>
          <t>ACEEE:</t>
        </r>
        <r>
          <rPr>
            <sz val="8"/>
            <color indexed="81"/>
            <rFont val="Tahoma"/>
            <family val="2"/>
          </rPr>
          <t xml:space="preserve">
Cities with IOUs can earn additional points by promoting or assisting in implementing utility efficiency programs. Examples of local government partnership and promotion of utility energy efficiency programs include program marketing, administration or implementation partnerships between utilities and city agencies, and/or funding provided by the utility to city-sponsored programs.  For example, Baltimore promotes BGE's Smart Energy Savers programs through the Baltimore Energy Challenge and Indianapolis partners with IPL in promotion and implementation of its income-qualified weatherization program
</t>
        </r>
      </text>
    </comment>
    <comment ref="B21" authorId="0">
      <text>
        <r>
          <rPr>
            <b/>
            <sz val="8"/>
            <color indexed="81"/>
            <rFont val="Tahoma"/>
            <family val="2"/>
          </rPr>
          <t>ACEEE:</t>
        </r>
        <r>
          <rPr>
            <sz val="8"/>
            <color indexed="81"/>
            <rFont val="Tahoma"/>
            <family val="2"/>
          </rPr>
          <t xml:space="preserve">
Cities with IOUs can earn additional points by advocating for increased efficiency program investments through state regulatory processes.  In order to receive points though, cities must demonstrate active advocacy for additional energy efficiency spending.  For example, Denver regularly intervenes in Colorado Public Utility Commission proceedings regarding their local electric utility’s energy efficiency portfolio plans.  
</t>
        </r>
      </text>
    </comment>
    <comment ref="B22" authorId="0">
      <text>
        <r>
          <rPr>
            <b/>
            <sz val="8"/>
            <color indexed="81"/>
            <rFont val="Tahoma"/>
            <family val="2"/>
          </rPr>
          <t>ACEEE:</t>
        </r>
        <r>
          <rPr>
            <sz val="8"/>
            <color indexed="81"/>
            <rFont val="Tahoma"/>
            <family val="2"/>
          </rPr>
          <t xml:space="preserve">
The answer to this is automatically calculated from the basic utility information provided above, but please select the description in D22 that best fits the answer.</t>
        </r>
      </text>
    </comment>
    <comment ref="B23" authorId="0">
      <text>
        <r>
          <rPr>
            <b/>
            <sz val="8"/>
            <color indexed="81"/>
            <rFont val="Tahoma"/>
            <family val="2"/>
          </rPr>
          <t>ACEEE:</t>
        </r>
        <r>
          <rPr>
            <sz val="8"/>
            <color indexed="81"/>
            <rFont val="Tahoma"/>
            <family val="2"/>
          </rPr>
          <t xml:space="preserve">
Cities with IOUs can earn additional points by promoting or assisting in implementing gas utility efficiency programs. Examples of local government partnership and promotion of utility energy efficiency programs include program marketing, administration or implementation partnerships between utilities and city agencies, and/or funding provided by the utility to city-sponsored programs.</t>
        </r>
      </text>
    </comment>
    <comment ref="B24" authorId="0">
      <text>
        <r>
          <rPr>
            <b/>
            <sz val="8"/>
            <color indexed="81"/>
            <rFont val="Tahoma"/>
            <family val="2"/>
          </rPr>
          <t>ACEEE:</t>
        </r>
        <r>
          <rPr>
            <sz val="8"/>
            <color indexed="81"/>
            <rFont val="Tahoma"/>
            <family val="2"/>
          </rPr>
          <t xml:space="preserve">
Cities with IOUs can earn additional points by advocating for increased efficiency program investments through state regulatory processes.  In order to receive points though, cities must demonstrate active advocacy for additional energy efficiency spending.</t>
        </r>
      </text>
    </comment>
    <comment ref="B25" authorId="0">
      <text>
        <r>
          <rPr>
            <b/>
            <sz val="8"/>
            <color indexed="81"/>
            <rFont val="Tahoma"/>
            <family val="2"/>
          </rPr>
          <t>ACEEE:</t>
        </r>
        <r>
          <rPr>
            <sz val="8"/>
            <color indexed="81"/>
            <rFont val="Tahoma"/>
            <family val="2"/>
          </rPr>
          <t xml:space="preserve">
The answer to this is automatically calculated from the basic utility information provided above, but please select the description in D25 that best fits the answer.</t>
        </r>
      </text>
    </comment>
    <comment ref="B26" authorId="0">
      <text>
        <r>
          <rPr>
            <b/>
            <sz val="8"/>
            <color indexed="81"/>
            <rFont val="Tahoma"/>
            <family val="2"/>
          </rPr>
          <t>ACEEE:</t>
        </r>
        <r>
          <rPr>
            <sz val="8"/>
            <color indexed="81"/>
            <rFont val="Tahoma"/>
            <family val="2"/>
          </rPr>
          <t xml:space="preserve">
Examples of policies, rates, and incentives to encourage the incorporation of green infrastructure include:
• Stormwater charges based on impermeable surfaces 
• Water retention and/or infiltration requirements on new construction
• Incentives for the purchase of rain barrels and/or plantings of native plants or trees
</t>
        </r>
      </text>
    </comment>
    <comment ref="B33" authorId="0">
      <text>
        <r>
          <rPr>
            <b/>
            <sz val="8"/>
            <color indexed="81"/>
            <rFont val="Tahoma"/>
            <family val="2"/>
          </rPr>
          <t>ACEEE:</t>
        </r>
        <r>
          <rPr>
            <sz val="8"/>
            <color indexed="81"/>
            <rFont val="Tahoma"/>
            <family val="2"/>
          </rPr>
          <t xml:space="preserve">
As energy usage information enables better energy management by customers, it’s important that utilities provide energy usage data to customers, building owners, and local planners in an accessible, usable format.  To receive credit here, the city must advocate directly to utilities and state regulatory commissions for policy improvements relate to data access.
</t>
        </r>
      </text>
    </comment>
    <comment ref="F34" authorId="0">
      <text>
        <r>
          <rPr>
            <b/>
            <sz val="8"/>
            <color indexed="81"/>
            <rFont val="Tahoma"/>
            <family val="2"/>
          </rPr>
          <t>ACEEE:</t>
        </r>
        <r>
          <rPr>
            <sz val="8"/>
            <color indexed="81"/>
            <rFont val="Tahoma"/>
            <family val="2"/>
          </rPr>
          <t xml:space="preserve">
Once at the OpenEI website, go to the “Select a Map” dropdown in the upper-right part of the U.S. map and select “Delivery of Data.”  Then, go to the “State Summary Information” dropdown and select the state which the community is located in.  Once selected, a color-coded list will appear under the dropdown with all of the state’s utilities.  Find the community’s primary electric utility in this list.  Then, consult the chart under this dropdown entitled “What do these colors represent?” to ascertain what the color-coding means.  Communities should be awarded points if their utilities are colored-coded with a dark or medium blue or if they have implemented the Green Button.  </t>
        </r>
      </text>
    </comment>
    <comment ref="B35" authorId="0">
      <text>
        <r>
          <rPr>
            <b/>
            <sz val="8"/>
            <color indexed="81"/>
            <rFont val="Tahoma"/>
            <family val="2"/>
          </rPr>
          <t>ACEEE:</t>
        </r>
        <r>
          <rPr>
            <sz val="8"/>
            <color indexed="81"/>
            <rFont val="Tahoma"/>
            <family val="2"/>
          </rPr>
          <t xml:space="preserve">
Cities receive full points if utilities participate in ENERGY STAR’s Automated Benchmarking Service, which uploads data from multiple meters directly to ENERGY STAR’s Portfolio Manager, to allow for the tracking of energy use of an entire building even those with multiple tenants and utility accounts.  Cities receive partial points if the utility offers building owners access to aggregated data through a manual application process.
</t>
        </r>
      </text>
    </comment>
    <comment ref="F35" authorId="0">
      <text>
        <r>
          <rPr>
            <b/>
            <sz val="8"/>
            <color indexed="81"/>
            <rFont val="Tahoma"/>
            <family val="2"/>
          </rPr>
          <t>ACEEE:</t>
        </r>
        <r>
          <rPr>
            <sz val="8"/>
            <color indexed="81"/>
            <rFont val="Tahoma"/>
            <family val="2"/>
          </rPr>
          <t xml:space="preserve">
Follow the link to the “Directory of Energy Efficiency Programs Leveraging ENERGY STAR,” to see if the community’s primary utility or another sponsor in the community is making automated commercial benchmarking available.  If the utility or other sponsor is doing so, the community should be awarded the full two points.  If not, the user can conduct additional locality and utility research to ascertain whether benchmarking through ENERGY STAR or another service is available as this list has not been updated in recent months.  </t>
        </r>
      </text>
    </comment>
    <comment ref="B36" authorId="0">
      <text>
        <r>
          <rPr>
            <b/>
            <sz val="8"/>
            <color indexed="81"/>
            <rFont val="Tahoma"/>
            <family val="2"/>
          </rPr>
          <t>ACEEE:</t>
        </r>
        <r>
          <rPr>
            <sz val="8"/>
            <color indexed="81"/>
            <rFont val="Tahoma"/>
            <family val="2"/>
          </rPr>
          <t xml:space="preserve">
To receive points here, community-wide energy consumption data from utilities should be available for city-wide energy planning and/or third party program evaluation.</t>
        </r>
      </text>
    </comment>
    <comment ref="F36" authorId="0">
      <text>
        <r>
          <rPr>
            <b/>
            <sz val="8"/>
            <color indexed="81"/>
            <rFont val="Tahoma"/>
            <family val="2"/>
          </rPr>
          <t>ACEEE:</t>
        </r>
        <r>
          <rPr>
            <sz val="8"/>
            <color indexed="81"/>
            <rFont val="Tahoma"/>
            <family val="2"/>
          </rPr>
          <t xml:space="preserve">
Once at the OpenEI website, go to the “Select a Map” dropdown in the upper-right part of the U.S. map and select “Access to Data.”  Then, go to the “State Summary Information” dropdown and select the state which the community is located in.  Once selected, a color-coded list will appear under the dropdown with all of the state’s utilities.  Find the community’s primary electric utility in this list.  Then, consult the chart under this dropdown entitled “What do these colors represent?” to ascertain what the color-coding means.  Communities should be awarded points if their utilities are colored-coded with a dark or medium blue.  </t>
        </r>
      </text>
    </comment>
    <comment ref="B44" authorId="0">
      <text>
        <r>
          <rPr>
            <b/>
            <sz val="8"/>
            <color indexed="81"/>
            <rFont val="Tahoma"/>
            <family val="2"/>
          </rPr>
          <t>ACEEE:</t>
        </r>
        <r>
          <rPr>
            <sz val="8"/>
            <color indexed="81"/>
            <rFont val="Tahoma"/>
            <family val="2"/>
          </rPr>
          <t xml:space="preserve">
Both franchise agreements (which allow utilities to use public rights of way for infrastructure) and municipal aggregation (which is the bulk purchase of energy commodities by local government through a competitively selected supplier) provide an opportunity for local government to negotiate and mandate investments in energy efficiency from energy suppliers</t>
        </r>
      </text>
    </comment>
    <comment ref="B49" authorId="0">
      <text>
        <r>
          <rPr>
            <b/>
            <sz val="8"/>
            <color indexed="81"/>
            <rFont val="Tahoma"/>
            <family val="2"/>
          </rPr>
          <t>ACEEE:</t>
        </r>
        <r>
          <rPr>
            <sz val="8"/>
            <color indexed="81"/>
            <rFont val="Tahoma"/>
            <family val="2"/>
          </rPr>
          <t xml:space="preserve">
The following are real world examples of water efficiency programs:
• Columbus, OH funds a rain barrel cost share program, to reduce water consumed from the municipal water system for outdoor uses.
• El Paso, TX uses reclaimed water and gives away water efficient shower heads to help achieve a goal to reduce per capita daily water consumption 
</t>
        </r>
      </text>
    </comment>
    <comment ref="B51" authorId="0">
      <text>
        <r>
          <rPr>
            <b/>
            <sz val="8"/>
            <color indexed="81"/>
            <rFont val="Tahoma"/>
            <family val="2"/>
          </rPr>
          <t>ACEEE:</t>
        </r>
        <r>
          <rPr>
            <sz val="8"/>
            <color indexed="81"/>
            <rFont val="Tahoma"/>
            <family val="2"/>
          </rPr>
          <t xml:space="preserve">
Examples of green stormwater infrastructure include rain barrels, green or blue roofs, bioswales, and other methods of on-site water filtration</t>
        </r>
      </text>
    </comment>
    <comment ref="B53" authorId="0">
      <text>
        <r>
          <rPr>
            <b/>
            <sz val="8"/>
            <color indexed="81"/>
            <rFont val="Tahoma"/>
            <family val="2"/>
          </rPr>
          <t>ACEEE:</t>
        </r>
        <r>
          <rPr>
            <sz val="8"/>
            <color indexed="81"/>
            <rFont val="Tahoma"/>
            <family val="2"/>
          </rPr>
          <t xml:space="preserve">
Examples of self-generation include methane gas capture and use and CHP.   </t>
        </r>
      </text>
    </comment>
  </commentList>
</comments>
</file>

<file path=xl/comments5.xml><?xml version="1.0" encoding="utf-8"?>
<comments xmlns="http://schemas.openxmlformats.org/spreadsheetml/2006/main">
  <authors>
    <author>ACEEE</author>
  </authors>
  <commentList>
    <comment ref="E6" authorId="0">
      <text>
        <r>
          <rPr>
            <b/>
            <sz val="8"/>
            <color indexed="81"/>
            <rFont val="Tahoma"/>
            <family val="2"/>
          </rPr>
          <t>ACEEE:</t>
        </r>
        <r>
          <rPr>
            <sz val="8"/>
            <color indexed="81"/>
            <rFont val="Tahoma"/>
            <family val="2"/>
          </rPr>
          <t xml:space="preserve">
To gather this information for the already-scored peer communities, ACEEE requested and received Local Government Finance data for 2010 from the U.S. Census.  Because the process to request and receive this document can be lengthy, ACEEE recommends users gather information by referencing the community’s most recent annual budget for data on highway and parking spending.  To find the annual budget, begin by browsing the local government website for financial information or using a web browser to search for keywords such as “Community A Itemized Budget 2010.”  Once the budget is located, search for any line items related to maintenance or construction of regular highways, toll highways, and parking facilities.  Once collected, all dollar values should be aggregated and inserted into D6.  If the annual budget data is not easily accessible on the city website, these figures may be available on the locality’s Department of Finance website.  
</t>
        </r>
      </text>
    </comment>
    <comment ref="E7" authorId="0">
      <text>
        <r>
          <rPr>
            <b/>
            <sz val="8"/>
            <color indexed="81"/>
            <rFont val="Tahoma"/>
            <family val="2"/>
          </rPr>
          <t>ACEEE:</t>
        </r>
        <r>
          <rPr>
            <sz val="8"/>
            <color indexed="81"/>
            <rFont val="Tahoma"/>
            <family val="2"/>
          </rPr>
          <t xml:space="preserve">
Before clicking through to the NTD website, please find the name(s) of the public transportation system(s) that serve the locality through a web search.  After this is located, click through to the website and download the data entitled “TS1.1 – Total Funding Time Series” that is located under the “Historical Data Files” heading on the left-hand side of the page.  Once the spreadsheet is open, click to the second tab of the workbook entitled “Total” and add a filter to the top row.  Next, sort by either the name of the community or the names of the transit agency(ies) serving the community.  Once the transit agency(ies) is displayed, scroll to the far right-hand side of the workbook to ascertain the total budget for the most recent year and insert this value into D7.  If more than one transit agency serves the community, aggregate the totals for all agencies.  </t>
        </r>
      </text>
    </comment>
    <comment ref="E8" authorId="0">
      <text>
        <r>
          <rPr>
            <b/>
            <sz val="8"/>
            <color indexed="81"/>
            <rFont val="Tahoma"/>
            <family val="2"/>
          </rPr>
          <t>ACEEE:</t>
        </r>
        <r>
          <rPr>
            <sz val="8"/>
            <color indexed="81"/>
            <rFont val="Tahoma"/>
            <family val="2"/>
          </rPr>
          <t xml:space="preserve">
Click through to the NTD website and click on the “Agency Information” link to download the data.  Once downloaded and opened, add a filter to the top row of the worksheet.  Then sort the data by either the name(s) of the transit agency(ies) in Column G or the locality name in Column J.  Once sorted, scroll to “Service_Area_Population” in Column R to find the population served by the transit agency(ies).  Take the largest service area population of any transit agency serving the locality and insert it into D8</t>
        </r>
      </text>
    </comment>
    <comment ref="E9" authorId="0">
      <text>
        <r>
          <rPr>
            <b/>
            <sz val="8"/>
            <color indexed="81"/>
            <rFont val="Tahoma"/>
            <family val="2"/>
          </rPr>
          <t>ACEEE:</t>
        </r>
        <r>
          <rPr>
            <sz val="8"/>
            <color indexed="81"/>
            <rFont val="Tahoma"/>
            <family val="2"/>
          </rPr>
          <t xml:space="preserve">
Click through to the U.S. Department of Transportation website and download the “Intermodal Terminal Facilities” ZIP file.  Once downloaded, open the DBF file entitled “facility.”  Once opened, add a filter to the top row and sort the data by the name of the user locality in Column E.  Once the data is sorted, you will find the intermodal facility type in Column D, “Mode_Type.”  As ACEEE defines an efficient intermodal facility as one that includes rail and/or port as part of the facility, please count up the number of intermodal facilities with rail and/or port capabilities and put the total in D9.  Each line item represents 1 facility.  If your city is not listed in the file or none of its facilities are efficient, please enter 0 in D9.  Please note that sometimes this ZIP file cannot be directly opened immediately after being unzipped.  If you are experiencing this problem and cannot open the “facility” DBF file after downloading it, save the file to your computer without opening it.  Then, open Excel and open the file using the toolbar in Excel.
</t>
        </r>
      </text>
    </comment>
    <comment ref="E10" authorId="0">
      <text>
        <r>
          <rPr>
            <b/>
            <sz val="8"/>
            <color indexed="81"/>
            <rFont val="Tahoma"/>
            <family val="2"/>
          </rPr>
          <t>ACEEE:</t>
        </r>
        <r>
          <rPr>
            <sz val="8"/>
            <color indexed="81"/>
            <rFont val="Tahoma"/>
            <family val="2"/>
          </rPr>
          <t xml:space="preserve">
Click through to the Freight Analysis Tool and click the “Total Flows” button at the top-left part of the webpage.  Then, select the options from the dropdowns of the Freight Analysis Tool that match the options in the following list:
• Year: 2011
• Origin: State Specific Info --&gt; State Name
• Destination: Combine national total (not-destination specific)
• Measure: Ton-Mile
• Commodity: Combine Total (no specific info)
• Domestic Mode: Rail, Water, Multiple modes &amp; mail, pipeline, other and unknown, and no domestic mode (all of these can be selected by holding down “Tab” on your keyboard while clicking each option)
After changing the inputs, press the submit button to begin running the report.  It may take up to a minute to display the information, but the information will appear at the bottom of the webpage.  Once completed, the fourth column will be entitled “Total Ton-Mile in 2011.”  Sum this column and insert the total in D10.
Later in the "Transportation Policies" scoring tab, this value will be scaled by the locality's portion of the state population in order to to calculate the number of efficient intermodal freight facilities in the locality.
</t>
        </r>
      </text>
    </comment>
    <comment ref="B16" authorId="0">
      <text>
        <r>
          <rPr>
            <b/>
            <sz val="8"/>
            <color indexed="81"/>
            <rFont val="Tahoma"/>
            <family val="2"/>
          </rPr>
          <t>ACEEE:</t>
        </r>
        <r>
          <rPr>
            <sz val="8"/>
            <color indexed="81"/>
            <rFont val="Tahoma"/>
            <family val="2"/>
          </rPr>
          <t xml:space="preserve">
If your local government has enacted a Complete Streets Policy, please select the link in Column F to be directed to Smart Growth America’s “The Best Complete Streets Policies of 2012 .”   If your community does not have a Complete Streets Policy, the community will not receive any points here. If your local government does have a complete street policy but it is not given a score by NCSC, please make an estimate of how it would score based on the NCSC methodology, and contact NCSC to make sure it is included in their database.  Complete Street plans or guides endorsed by the local government can receive partial credit, up to 1 point, depending on their level of implementation.</t>
        </r>
      </text>
    </comment>
    <comment ref="F16" authorId="0">
      <text>
        <r>
          <rPr>
            <b/>
            <sz val="8"/>
            <color indexed="81"/>
            <rFont val="Tahoma"/>
            <family val="2"/>
          </rPr>
          <t>ACEEE:</t>
        </r>
        <r>
          <rPr>
            <sz val="8"/>
            <color indexed="81"/>
            <rFont val="Tahoma"/>
            <family val="2"/>
          </rPr>
          <t xml:space="preserve">
Once the Smarth Growth Report is opened, scroll down to “Appendix B: Index of Complete Streets Policy Scores” and locate your community.  The total score awarded to your community will be on the far right side of the page.  </t>
        </r>
      </text>
    </comment>
    <comment ref="B17" authorId="0">
      <text>
        <r>
          <rPr>
            <b/>
            <sz val="8"/>
            <color indexed="81"/>
            <rFont val="Tahoma"/>
            <family val="2"/>
          </rPr>
          <t>ACEEE:</t>
        </r>
        <r>
          <rPr>
            <sz val="8"/>
            <color indexed="81"/>
            <rFont val="Tahoma"/>
            <family val="2"/>
          </rPr>
          <t xml:space="preserve">
Examples of car sharing include Zip Car and Car2Go.  The energy benefit of car sharing programs is that they act as a substitute for traditional vehicle ownership so individuals can potentially rely on alternative modes of transportation for more of their travel</t>
        </r>
      </text>
    </comment>
    <comment ref="F17" authorId="0">
      <text>
        <r>
          <rPr>
            <b/>
            <sz val="8"/>
            <color indexed="81"/>
            <rFont val="Tahoma"/>
            <family val="2"/>
          </rPr>
          <t>ACEEE:</t>
        </r>
        <r>
          <rPr>
            <sz val="8"/>
            <color indexed="81"/>
            <rFont val="Tahoma"/>
            <family val="2"/>
          </rPr>
          <t xml:space="preserve">
Click through to the website and scroll down to the alphabetical listing of cities that offer car sharing programs.  Please take note of the “In Planning” and “Closed” headers nested within this list, as only fully operational car sharing programs receive full points.</t>
        </r>
      </text>
    </comment>
    <comment ref="B19" authorId="0">
      <text>
        <r>
          <rPr>
            <b/>
            <sz val="8"/>
            <color indexed="81"/>
            <rFont val="Tahoma"/>
            <family val="2"/>
          </rPr>
          <t>ACEEE:</t>
        </r>
        <r>
          <rPr>
            <sz val="8"/>
            <color indexed="81"/>
            <rFont val="Tahoma"/>
            <family val="2"/>
          </rPr>
          <t xml:space="preserve">
The answer to this is automatically calculated from the Basic Information provided above, but please select the description in D19 that best fits the answer</t>
        </r>
      </text>
    </comment>
    <comment ref="B20" authorId="0">
      <text>
        <r>
          <rPr>
            <b/>
            <sz val="8"/>
            <color indexed="81"/>
            <rFont val="Tahoma"/>
            <family val="2"/>
          </rPr>
          <t>ACEEE:</t>
        </r>
        <r>
          <rPr>
            <sz val="8"/>
            <color indexed="81"/>
            <rFont val="Tahoma"/>
            <family val="2"/>
          </rPr>
          <t xml:space="preserve">
Transportation partnerships bring together stakeholders to find comprehensive solutions to transportation challenges and can therefore help reduce transportation-related energy use within a city.  As a barometer for city involvement in transportation partnerships, we focus on city involvement with the Department of Energy’s Clean Cities Program.  To receive points here, a city staff member must be actively engaged with the regional Clean Cities Coalition or similar effort by acting as a coordinator or being a regular contributor to efforts.     </t>
        </r>
      </text>
    </comment>
    <comment ref="F20" authorId="0">
      <text>
        <r>
          <rPr>
            <b/>
            <sz val="8"/>
            <color indexed="81"/>
            <rFont val="Tahoma"/>
            <family val="2"/>
          </rPr>
          <t>ACEEE:</t>
        </r>
        <r>
          <rPr>
            <sz val="8"/>
            <color indexed="81"/>
            <rFont val="Tahoma"/>
            <family val="2"/>
          </rPr>
          <t xml:space="preserve">
Click through to the Department of Energy website and use the “Find My Local Coalition” search to find the community’s Clean Cities Coalition.  Once found, the user will need to conduct locality research to ascertain whether the local government engages with the local Clean Cities Coalition.    </t>
        </r>
      </text>
    </comment>
    <comment ref="B27" authorId="0">
      <text>
        <r>
          <rPr>
            <b/>
            <sz val="8"/>
            <color indexed="81"/>
            <rFont val="Tahoma"/>
            <family val="2"/>
          </rPr>
          <t>ACEEE:</t>
        </r>
        <r>
          <rPr>
            <sz val="8"/>
            <color indexed="81"/>
            <rFont val="Tahoma"/>
            <family val="2"/>
          </rPr>
          <t xml:space="preserve">
Location efficiency information policies are non-monetary policy tools used to encourage compact growth and mixed-use development.  For example, cities may require property owners to disclose the Walk Score of their properties to potential buyers or tenants in order to attract residents to compact, walkable communities</t>
        </r>
      </text>
    </comment>
    <comment ref="B28" authorId="0">
      <text>
        <r>
          <rPr>
            <b/>
            <sz val="8"/>
            <color indexed="81"/>
            <rFont val="Tahoma"/>
            <family val="2"/>
          </rPr>
          <t>ACEEE:</t>
        </r>
        <r>
          <rPr>
            <sz val="8"/>
            <color indexed="81"/>
            <rFont val="Tahoma"/>
            <family val="2"/>
          </rPr>
          <t xml:space="preserve">
Many conventional zoning and development standards have minimum parking requirements that use a significant area and perpetuate auto-oriented neighborhoods.  Cities receive points here if they enact policies, including removing parking minimums, which allow developers to dedicate less land for parking purposes  </t>
        </r>
      </text>
    </comment>
    <comment ref="B36" authorId="0">
      <text>
        <r>
          <rPr>
            <b/>
            <sz val="8"/>
            <color indexed="81"/>
            <rFont val="Tahoma"/>
            <family val="2"/>
          </rPr>
          <t>ACEEE:</t>
        </r>
        <r>
          <rPr>
            <sz val="8"/>
            <color indexed="81"/>
            <rFont val="Tahoma"/>
            <family val="2"/>
          </rPr>
          <t xml:space="preserve">
Cities receive points here by enacting zoning codes that lead to investment in and development of mixed-use, walkable communities located near transit facilities.  While it isn’t mandatory to have all these features, zoning regulations that enable location efficiency should:
• Require mixed-use zones
• Recalibrate zoning standards to allow for compact development
• Increase density in city centers and around transit nodes
• Modernize street standards or enact new standards to foster walkable communities
• Minimize parking requirements
• Designate preferred growth areas 
</t>
        </r>
      </text>
    </comment>
    <comment ref="B39" authorId="0">
      <text>
        <r>
          <rPr>
            <b/>
            <sz val="8"/>
            <color indexed="81"/>
            <rFont val="Tahoma"/>
            <family val="2"/>
          </rPr>
          <t>ACEEE:</t>
        </r>
        <r>
          <rPr>
            <sz val="8"/>
            <color indexed="81"/>
            <rFont val="Tahoma"/>
            <family val="2"/>
          </rPr>
          <t xml:space="preserve">
CNT’s Transit Connectivity Index measures the frequency of transit service by estimating the number of transit rides available per week within walking distance from the average household.  To gather this data for your locality, click on the link in Column F to open the H+T Affordability Index page.  </t>
        </r>
      </text>
    </comment>
    <comment ref="F39" authorId="0">
      <text>
        <r>
          <rPr>
            <b/>
            <sz val="8"/>
            <color indexed="81"/>
            <rFont val="Tahoma"/>
            <family val="2"/>
          </rPr>
          <t>ACEEE:</t>
        </r>
        <r>
          <rPr>
            <sz val="8"/>
            <color indexed="81"/>
            <rFont val="Tahoma"/>
            <family val="2"/>
          </rPr>
          <t xml:space="preserve">
Once the website opens and you have entered your locality’s name, click on the down arrow to the right of “Housing Costs % Income” and select “Transit Connectivity Index (TCI)” from the dropdown.  After selecting TCI, click on the down arrow on the right side of the legend and select “Summary Table of Statistics” from the dropdown.  This summary table will provide the average TCI value for your locality</t>
        </r>
      </text>
    </comment>
    <comment ref="B40" authorId="0">
      <text>
        <r>
          <rPr>
            <b/>
            <sz val="8"/>
            <color indexed="81"/>
            <rFont val="Tahoma"/>
            <family val="2"/>
          </rPr>
          <t>ACEEE:</t>
        </r>
        <r>
          <rPr>
            <sz val="8"/>
            <color indexed="81"/>
            <rFont val="Tahoma"/>
            <family val="2"/>
          </rPr>
          <t xml:space="preserve">
Policies enacted to encourage the following efficient driving behaviors earn points here:
• Anti-idling
• Avoiding stop-start driving
• Avoiding aggressive driving
• Driving at the speed limit
• Good vehicle maintenance
</t>
        </r>
      </text>
    </comment>
    <comment ref="B41" authorId="0">
      <text>
        <r>
          <rPr>
            <b/>
            <sz val="8"/>
            <color indexed="81"/>
            <rFont val="Tahoma"/>
            <family val="2"/>
          </rPr>
          <t>ACEEE:</t>
        </r>
        <r>
          <rPr>
            <sz val="8"/>
            <color indexed="81"/>
            <rFont val="Tahoma"/>
            <family val="2"/>
          </rPr>
          <t xml:space="preserve">
The answer to this is automatically calculated from the Basic Information provided above, but please select the description in D40 that best fits the answer</t>
        </r>
      </text>
    </comment>
    <comment ref="B49" authorId="0">
      <text>
        <r>
          <rPr>
            <b/>
            <sz val="8"/>
            <color indexed="81"/>
            <rFont val="Tahoma"/>
            <family val="2"/>
          </rPr>
          <t>ACEEE:</t>
        </r>
        <r>
          <rPr>
            <sz val="8"/>
            <color indexed="81"/>
            <rFont val="Tahoma"/>
            <family val="2"/>
          </rPr>
          <t xml:space="preserve">
Financial and Non-Financial Incentives to encourage location-efficient development include:
• Density bonuses
• Expedited Permitting 
• Low interest loans
• Tax abatement programs
</t>
        </r>
      </text>
    </comment>
    <comment ref="B50" authorId="0">
      <text>
        <r>
          <rPr>
            <b/>
            <sz val="8"/>
            <color indexed="81"/>
            <rFont val="Tahoma"/>
            <family val="2"/>
          </rPr>
          <t>ACEEE:</t>
        </r>
        <r>
          <rPr>
            <sz val="8"/>
            <color indexed="81"/>
            <rFont val="Tahoma"/>
            <family val="2"/>
          </rPr>
          <t xml:space="preserve">
TDM strategies include the following:
• Telecommuting
• Flexible work schedules
• Subsidized transit passes
• Parking cash-out programs
• Ridesharing (carpooling, HOV lanes, etc.)
</t>
        </r>
      </text>
    </comment>
    <comment ref="B51" authorId="0">
      <text>
        <r>
          <rPr>
            <b/>
            <sz val="8"/>
            <color indexed="81"/>
            <rFont val="Tahoma"/>
            <family val="2"/>
          </rPr>
          <t>ACEEE:</t>
        </r>
        <r>
          <rPr>
            <sz val="8"/>
            <color indexed="81"/>
            <rFont val="Tahoma"/>
            <family val="2"/>
          </rPr>
          <t xml:space="preserve">
Alternative fuel vehicles do not generally improve vehicle fuel efficiency, so government policies to promote their purchase are not applicable here</t>
        </r>
      </text>
    </comment>
  </commentList>
</comments>
</file>

<file path=xl/comments6.xml><?xml version="1.0" encoding="utf-8"?>
<comments xmlns="http://schemas.openxmlformats.org/spreadsheetml/2006/main">
  <authors>
    <author>ACEEE</author>
  </authors>
  <commentList>
    <comment ref="N3" authorId="0">
      <text>
        <r>
          <rPr>
            <b/>
            <sz val="8"/>
            <color indexed="81"/>
            <rFont val="Tahoma"/>
            <family val="2"/>
          </rPr>
          <t>ACEEE:</t>
        </r>
        <r>
          <rPr>
            <sz val="8"/>
            <color indexed="81"/>
            <rFont val="Tahoma"/>
            <family val="2"/>
          </rPr>
          <t xml:space="preserve">
Here, select a large city from the City Energy Efficiency Scorecard to compare your community against.
</t>
        </r>
      </text>
    </comment>
  </commentList>
</comments>
</file>

<file path=xl/sharedStrings.xml><?xml version="1.0" encoding="utf-8"?>
<sst xmlns="http://schemas.openxmlformats.org/spreadsheetml/2006/main" count="4249" uniqueCount="1985">
  <si>
    <t>The parking requirement is an average of 1 parking space or fewer per residential unit</t>
  </si>
  <si>
    <t>The parking requirement is an average of 1 parking space or more per residential unit</t>
  </si>
  <si>
    <t>Zoning for Location Efficient Developments</t>
  </si>
  <si>
    <t>B37</t>
  </si>
  <si>
    <t>Location Efficient Zoning</t>
  </si>
  <si>
    <t>A zoning code to encourage location-efficient development applies to the whole city</t>
  </si>
  <si>
    <t>A zoning code to encourage location-efficient development does not exist</t>
  </si>
  <si>
    <t>Integration of Planning and Land-Use Planning</t>
  </si>
  <si>
    <t>B36</t>
  </si>
  <si>
    <t>VMT Targets</t>
  </si>
  <si>
    <t>Yes, a specific target has been adopted through legislation</t>
  </si>
  <si>
    <t>Yes, a specific target is part of a city sustainability plan</t>
  </si>
  <si>
    <t>What is your locality's Transit Connectivity Index?</t>
  </si>
  <si>
    <t>Access to Transit Services</t>
  </si>
  <si>
    <t>B39</t>
  </si>
  <si>
    <t>Transit Connectivity Index</t>
  </si>
  <si>
    <t>&gt;50,000</t>
  </si>
  <si>
    <t>20,000 to 50,000</t>
  </si>
  <si>
    <t>10,000 to 20,000</t>
  </si>
  <si>
    <t>5,000 to 10,000</t>
  </si>
  <si>
    <t>&gt;0 to 10,000</t>
  </si>
  <si>
    <t>H+T Affordability Index</t>
  </si>
  <si>
    <t>2012 National Transportation Atlas Database</t>
  </si>
  <si>
    <t>Freight</t>
  </si>
  <si>
    <t>Incentives to Encourage Creation of Mixed-Use Compact Communities</t>
  </si>
  <si>
    <t>B48</t>
  </si>
  <si>
    <t>Incentives for Mixed Use</t>
  </si>
  <si>
    <t>Transportation Demand Management Programs</t>
  </si>
  <si>
    <t>Has your city implemented Transportation Demand Management (TDM) programs?</t>
  </si>
  <si>
    <t>Incentives for High Efficiency Vehicles</t>
  </si>
  <si>
    <t>B50</t>
  </si>
  <si>
    <t>High Efficiency Vehicles</t>
  </si>
  <si>
    <t>Yes, city incentives are in place for the purchase of high efficiency vehicles</t>
  </si>
  <si>
    <t>No, city incentives are not in place for the purchase of high efficiency vehicles</t>
  </si>
  <si>
    <t>Incentives for Electric Vehicle Charging Infrastructure</t>
  </si>
  <si>
    <t>B51</t>
  </si>
  <si>
    <t>EV Charging Stations</t>
  </si>
  <si>
    <t>Has the city implemented any incentive programs to support the installation of electric vehicle (EV) charging infrastructure?</t>
  </si>
  <si>
    <t>Yes, programs for the installation of EV charging infrastructure have been enacted</t>
  </si>
  <si>
    <t>No, programs for the installation of EV charging infrastructure have not been enacted</t>
  </si>
  <si>
    <t>Efficient Vehicle Behavior</t>
  </si>
  <si>
    <t>Has your city enacted policies to encourage efficient driving?</t>
  </si>
  <si>
    <t>B60</t>
  </si>
  <si>
    <t>No, the city does not have any such policies</t>
  </si>
  <si>
    <t>Policy Step 1</t>
  </si>
  <si>
    <t>Policy Step 2</t>
  </si>
  <si>
    <t>Policy Step 3</t>
  </si>
  <si>
    <t xml:space="preserve">Green Buildings </t>
  </si>
  <si>
    <t>Green Procurement Policy</t>
  </si>
  <si>
    <t>Evaluation, Monitoring, and Verification</t>
  </si>
  <si>
    <t>Sustainable Maintenance Policies</t>
  </si>
  <si>
    <t>Staff Incentives</t>
  </si>
  <si>
    <t>Energy Efficiency Outreach Staff</t>
  </si>
  <si>
    <t>Urban Heat Island Effect Mitigation Policies</t>
  </si>
  <si>
    <t>Yes, publically installed charging stations are available for private vehicles</t>
  </si>
  <si>
    <t>Has your city implemented any urban heat island mitigation programs?</t>
  </si>
  <si>
    <t>Annual Progress Reporting</t>
  </si>
  <si>
    <t xml:space="preserve"> Urban Heat Island Effect Mitigation Programs</t>
  </si>
  <si>
    <t>Target formally adopted but not mainstreamed across community activities</t>
  </si>
  <si>
    <t>Target identified through proposal or draft action plan, but not formally adopted</t>
  </si>
  <si>
    <t>Target identified for only specific neighborhoods rather than whole community</t>
  </si>
  <si>
    <t>Yes, target formally adopted and mainstreamed across community activities</t>
  </si>
  <si>
    <t xml:space="preserve">Is progress toward community-wide energy efficiency goals independently evaluated, monitored, and verified (EM&amp;V) by a third party? </t>
  </si>
  <si>
    <t>Yes, there is independent EM&amp;V of progress toward community efficiency goals</t>
  </si>
  <si>
    <t>No, there is no independent EM&amp;V of progress toward community efficiency goals</t>
  </si>
  <si>
    <t xml:space="preserve">Is your city on track to hit its community-wide energy efficiency goals? </t>
  </si>
  <si>
    <t xml:space="preserve">Does your city have any installed combined heat and power(CHP)/cogeneration facilities?  </t>
  </si>
  <si>
    <t xml:space="preserve">Does your city have any district energy systems that are integrated with CHP/cogeneration? </t>
  </si>
  <si>
    <t>2009 IECC or ASHRAE 2007</t>
  </si>
  <si>
    <t>Res - State Authority Only</t>
  </si>
  <si>
    <t>A45</t>
  </si>
  <si>
    <t>Ratio of BPI and ES personnel to households is greater than 0.5 and less than 1</t>
  </si>
  <si>
    <t>No BPI or ES personnel in metro area</t>
  </si>
  <si>
    <t>Residential Energy Code Advocacy</t>
  </si>
  <si>
    <t>Commercial Energy Code Advocacy</t>
  </si>
  <si>
    <t>Comprehensive Efficiency Assessments</t>
  </si>
  <si>
    <t>Energy Audit  Requirements</t>
  </si>
  <si>
    <t>Energy Retrofit Requirements</t>
  </si>
  <si>
    <t>A17</t>
  </si>
  <si>
    <t>City Compliance Spending</t>
  </si>
  <si>
    <t>More than $60</t>
  </si>
  <si>
    <t>&lt;$30 to &lt;$60</t>
  </si>
  <si>
    <t>&lt;$20 to &lt;$30</t>
  </si>
  <si>
    <t>&lt;$10 to &lt;$20</t>
  </si>
  <si>
    <t>Less than $10</t>
  </si>
  <si>
    <t>Upfront Support for Energy Code Compliance</t>
  </si>
  <si>
    <t>Yes, requirements exist for both residential AND commercial buildings</t>
  </si>
  <si>
    <t>Yes, requirements exist for residential OR commercial buildings</t>
  </si>
  <si>
    <t>No, the city does not have energy audit requirements</t>
  </si>
  <si>
    <t>Yes, one of these requirements has been passed and implemented</t>
  </si>
  <si>
    <t>No, the city does not have one of these requirements</t>
  </si>
  <si>
    <t>One of these requirements has been implemented, but not formally passed</t>
  </si>
  <si>
    <t>A24, A30</t>
  </si>
  <si>
    <t>All residential building units (including single family homes) and greater</t>
  </si>
  <si>
    <t>Yes, households have access to a Home Performance</t>
  </si>
  <si>
    <t>No, households do not  have access to a Home Performance</t>
  </si>
  <si>
    <t>Requirements exist for residential AND commercial buildings</t>
  </si>
  <si>
    <t>Requirements exist for residential OR commercial buildings</t>
  </si>
  <si>
    <t>Requirements exist for buildings using public funds</t>
  </si>
  <si>
    <t>Above code requirements do not exist</t>
  </si>
  <si>
    <t>DOE</t>
  </si>
  <si>
    <t>Utility</t>
  </si>
  <si>
    <t>2011 Total Revenue of Primary Electric Utility ($ thousands)</t>
  </si>
  <si>
    <t>Yes, the city promotes and/or partners with the utility on efficiency programs</t>
  </si>
  <si>
    <t>No, the city does not promote and/or partner with the utility on efficiency programs</t>
  </si>
  <si>
    <t>Yes, the city advocates for additional energy efficiency spending/policies</t>
  </si>
  <si>
    <t>No, the city does not advocate for additional energy efficiency spending/policies</t>
  </si>
  <si>
    <t>Yes, the city advocates for improvements or has established sharing agreements</t>
  </si>
  <si>
    <t>No, the city does not advocate for improvements nor has established sharing agreements</t>
  </si>
  <si>
    <t>Yes, the city has implemented Green Button or a similar online service</t>
  </si>
  <si>
    <t>The city has not yet implemented Green Button, but has committed to doing so</t>
  </si>
  <si>
    <t>No, the city has not implemented Green Button and has no plans to do so</t>
  </si>
  <si>
    <t>Does the city actively advocate for policy
improvements in data provision by utilities?  Or has the city established data sharing agreements with utilities?</t>
  </si>
  <si>
    <t>No, energy efficiency is not  incorporated into one of the aforementioned agreements</t>
  </si>
  <si>
    <t>While not required, the utility has a voluntary agreement to fund efficiency programs</t>
  </si>
  <si>
    <t xml:space="preserve">Have water savings targets been set by the local water utility or formalized by the city? </t>
  </si>
  <si>
    <t>EE Savings Requirements</t>
  </si>
  <si>
    <t>Yes, the city advocates for additional energy efficiency requirements</t>
  </si>
  <si>
    <t>No, the city does not advocate for additional energy efficiency requirements</t>
  </si>
  <si>
    <t>Community-Wide Initiatives</t>
  </si>
  <si>
    <t>Buildings Policies</t>
  </si>
  <si>
    <t>Transportation Policies</t>
  </si>
  <si>
    <t>Energy and Water Utility Policies &amp; Public Benefit Programs</t>
  </si>
  <si>
    <t>Energy and Water Utility Policies &amp; Public Benefits Program</t>
  </si>
  <si>
    <t>Comprehensive Community-Wide Energy Management Strategy</t>
  </si>
  <si>
    <t>Incentives for More Efficient Buildings</t>
  </si>
  <si>
    <t>Accessible Energy Utility Data</t>
  </si>
  <si>
    <t>Transparent Government Energy Usage</t>
  </si>
  <si>
    <t>Comprehensive Energy Management Strategy in Buildings</t>
  </si>
  <si>
    <t>Initial Energy Management Policies for Government Operations</t>
  </si>
  <si>
    <t>Comprehensive Energy Management Strategy for Government Operations</t>
  </si>
  <si>
    <t>Informing the Community</t>
  </si>
  <si>
    <t>Comprehensive Energy Management at Utilities</t>
  </si>
  <si>
    <t>Getting Started on Community-Wide Energy Efficiency</t>
  </si>
  <si>
    <t>Policy Step 4</t>
  </si>
  <si>
    <t>If a Complete Streets Policy is in place, what is the community's National Complete Streets Coalition (NCSC) score?</t>
  </si>
  <si>
    <t>Yes, the city has an operational car sharing program</t>
  </si>
  <si>
    <t>The city does not have one yet, but a car sharing program is under development</t>
  </si>
  <si>
    <t>No, the city does not have a car sharing program</t>
  </si>
  <si>
    <t>Yes, the city has an operational bike sharing program</t>
  </si>
  <si>
    <t>The city does not have one yet, but a bike sharing program is under development</t>
  </si>
  <si>
    <t>No, the city does not have a bike sharing program</t>
  </si>
  <si>
    <t xml:space="preserve">Values Calculated </t>
  </si>
  <si>
    <t>There are no minimum parking requirements for new developments</t>
  </si>
  <si>
    <t>City has efficient-vehicle behavior policies, but they only apply to a subset of private vehicles</t>
  </si>
  <si>
    <t>No, a specific target has not been identified</t>
  </si>
  <si>
    <t>Does the city have location efficiency information policies in place?</t>
  </si>
  <si>
    <t>Does the city have sound residential parking policies that do not inhibit denser, more compact communities?</t>
  </si>
  <si>
    <t>Does the city's municipal zoning regulations promote location efficient developments?</t>
  </si>
  <si>
    <t>Has the city adopted a vehicle miles traveled (VMT) reduction target or modal share target?</t>
  </si>
  <si>
    <r>
      <t>If the city has adopted either type of target, is a plan being implemented to achieve the VMT reduction or modal share target?</t>
    </r>
    <r>
      <rPr>
        <b/>
        <sz val="11"/>
        <color indexed="8"/>
        <rFont val="Calibri"/>
        <family val="2"/>
      </rPr>
      <t xml:space="preserve"> </t>
    </r>
  </si>
  <si>
    <t>B38</t>
  </si>
  <si>
    <t>Target Implementation</t>
  </si>
  <si>
    <t>Yes, a plan is actively being implemented to achieve the target</t>
  </si>
  <si>
    <t>No, the city is not actively implementing a plan to achieve the target</t>
  </si>
  <si>
    <t>The city does not have a VMT or modal share target</t>
  </si>
  <si>
    <t>B40</t>
  </si>
  <si>
    <t>Efficient intermodal freight facility to thousand ton mile ratio is 2 to 3:1</t>
  </si>
  <si>
    <t>Efficient intermodal freight facility to thousand ton mile ratio is 1 to 1.99</t>
  </si>
  <si>
    <t>Efficient intermodal freight facility to thousand ton mile ratio is 0.5 to 0.99</t>
  </si>
  <si>
    <t>Efficient intermodal freight facility to thousand ton mile ratio is 0 to 0.49</t>
  </si>
  <si>
    <t>Efficient intermodal freight facility to thousand ton mile ratio is 0</t>
  </si>
  <si>
    <t>A41</t>
  </si>
  <si>
    <t>No, the city has not established an energy savings targets for buildings</t>
  </si>
  <si>
    <t>Yes, the city has established an energy savings target for buildings</t>
  </si>
  <si>
    <t>US Census</t>
  </si>
  <si>
    <t>B49</t>
  </si>
  <si>
    <t>Transportation Demand Management</t>
  </si>
  <si>
    <t>Yes, the city has implemented a broad set of TDM policies and programs</t>
  </si>
  <si>
    <t>The city does not have TDM policies or programs</t>
  </si>
  <si>
    <t>The city offers some TDM programs or actively partners with/funds programs run by others</t>
  </si>
  <si>
    <t>Does your city have any incentives (such as tax credits, rebates, or sales tax exemptions) in place for the purchase of hybrid or electric vehicles?</t>
  </si>
  <si>
    <t>Freight Analysis Framework Data Tabulation Tool, 2011 preliminary</t>
  </si>
  <si>
    <t>Intermodal Facilities with Rail and/or Port in City</t>
  </si>
  <si>
    <t>What is the number of efficient rail - or port-capable intermodal freight facilities within the city per thousand ton-miles of regional freight?</t>
  </si>
  <si>
    <t>Energy efficiency initiatives are being pursued, but a savings target is not in place</t>
  </si>
  <si>
    <t xml:space="preserve">Yes, a specific energy efficiency target/strategy is in place </t>
  </si>
  <si>
    <t xml:space="preserve">No, a specific energy efficiency target/strategy is not in place </t>
  </si>
  <si>
    <t>Wastewater treatment plants capture energy resources, but do not use on site</t>
  </si>
  <si>
    <t>Policy Area</t>
  </si>
  <si>
    <t>Peer City with Best Practices</t>
  </si>
  <si>
    <t>Most Room for Improvement</t>
  </si>
  <si>
    <t>TBD</t>
  </si>
  <si>
    <t>Best Performing</t>
  </si>
  <si>
    <t>Difference</t>
  </si>
  <si>
    <t>Performance Manage and Reporting and Building Benchmarking</t>
  </si>
  <si>
    <t>Local Government Energy Efficiency Targets, Progress Towards Efficiency Goals, EM&amp;V, Staff Incentives, Fleet Efficiency and Vehicle Infrastructure, Green Building, Energy Retrofitting, and Sustainable Infrastructure Policies</t>
  </si>
  <si>
    <t>Energy Efficiency Outreach Staff and Urban Heat Island Mitigation Programs</t>
  </si>
  <si>
    <t>Energy Efficiency Targets, Performance Management Strategies, Efficient Distributed Energy Generation, and Urban Heat Island Effect Mitigation Policies</t>
  </si>
  <si>
    <t>Residential Energy Code Stringency, Commercial Energy Code Stringency, and City Spending on Building Compliance</t>
  </si>
  <si>
    <t>Upfront Support for Energy Code Compliance, Energy Audit Requirements, Commercial Building Benchmarking and Disclosure Policies, and Residential Building Benchmarking and Disclosure Policies</t>
  </si>
  <si>
    <t>Electric Program Spending, Natural Gas Program Spending, Savings from Electric Energy Efficiency Programs, and Green Stormwater Infrastructure</t>
  </si>
  <si>
    <t>Provision of Energy Data by Utility</t>
  </si>
  <si>
    <t>Energy Efficiency Savings Requirements, Water Efficiency, Efficient Stormwater Management, and Energy Efficiency in Water Services</t>
  </si>
  <si>
    <t>Complete Streets, Car and Bike Sharing, Transportation Funding, and Transportation Partnerships</t>
  </si>
  <si>
    <t>Location Efficiency Information Policies and Parking Requirements</t>
  </si>
  <si>
    <t>Incentives to Encourage Creation of Mixed-Use Compact Communities, Transportation Demand Management Programs, Incentives for High Efficiency Vehicles, and Incentives for Electric Vehicle Charging Infrastructure</t>
  </si>
  <si>
    <t>Step 1: Pulling the Policy Area Score</t>
  </si>
  <si>
    <t>Room for Improvement</t>
  </si>
  <si>
    <t>Data for policy area for improvement</t>
  </si>
  <si>
    <t>Data for Best Performing Policy Area</t>
  </si>
  <si>
    <t>Step 2: Once Policy Area pulled, pulling the Policy Step Score</t>
  </si>
  <si>
    <t>Data to Search For</t>
  </si>
  <si>
    <t>Minimum Policy Step within Lowest Policy Area</t>
  </si>
  <si>
    <t>Value to Search For</t>
  </si>
  <si>
    <t>Max Policy Step within Highest Policy Area</t>
  </si>
  <si>
    <t>Step 3: Pulling in the proper metrics to target</t>
  </si>
  <si>
    <t>Explore Opps</t>
  </si>
  <si>
    <t>Policy Area Lost Points</t>
  </si>
  <si>
    <t>Lowest Scoring Policy Step</t>
  </si>
  <si>
    <t>ACEEE Local Energy Efficiency Self-Scoring Tool</t>
  </si>
  <si>
    <t>S</t>
  </si>
  <si>
    <t>Service Area of Largest Local Transit System</t>
  </si>
  <si>
    <t>Policy Analysis</t>
  </si>
  <si>
    <t>National Transit Database RY 2011 Agency Information</t>
  </si>
  <si>
    <t>National Transit Database RY 2011 Table TS1.</t>
  </si>
  <si>
    <t xml:space="preserve">2011 Energy Savings from Efficiency Programs (MWh) by Electric Utility </t>
  </si>
  <si>
    <t>City X</t>
  </si>
  <si>
    <t>Which best describes residential energy code adoption authority of your city? 
(1) code has been set at the state level and additional local adoption of codes is not permitted 
(2) a code has been set at the state level and local adoption of more aggressive codes is permitted, or 
(3) no statewide code exists and local adoption of codes is permitted</t>
  </si>
  <si>
    <t>Which best describes commercial energy code adoption authority of your city? 
(1) code has been set at the state level and additional local adoption of codes is not permitted, 
(2) a code has been set at the state level and local adoption of more aggressive codes is permitted, or 
(3) no statewide code exists and local adoption of codes is permitted</t>
  </si>
  <si>
    <r>
      <t xml:space="preserve">How many full-time employees does your city employ who are dedicated to implementation of </t>
    </r>
    <r>
      <rPr>
        <i/>
        <sz val="11"/>
        <rFont val="Calibri"/>
        <family val="2"/>
      </rPr>
      <t>community-wide</t>
    </r>
    <r>
      <rPr>
        <sz val="11"/>
        <rFont val="Calibri"/>
        <family val="2"/>
      </rPr>
      <t xml:space="preserve"> energy efficiency strategies?</t>
    </r>
  </si>
  <si>
    <t>United States Census</t>
  </si>
  <si>
    <t>No mandatory code adopted.</t>
  </si>
  <si>
    <t xml:space="preserve">What is the city's spending on building code compliance and enforcement per $1,000 of residential construction spending?
</t>
  </si>
  <si>
    <t>Building Energy Codes</t>
  </si>
  <si>
    <t>Improving Access to Energy Usage Information</t>
  </si>
  <si>
    <t>Instructions: To be modified from overview and helpful hints of User Guide</t>
  </si>
  <si>
    <t>Ratio of BPI and ES personnel to households is greater than 1</t>
  </si>
  <si>
    <t>Aggregated energy data is available, but only upon request</t>
  </si>
  <si>
    <t>No, aggregated energy data is not available</t>
  </si>
  <si>
    <t>Yes, aggregate energy usage data for the community is available</t>
  </si>
  <si>
    <t>No, aggregate energy usage data for the community is not available</t>
  </si>
  <si>
    <t>A zoning code to encourage location-efficient development applies to certain areas/neighborhoods</t>
  </si>
  <si>
    <t>Yes, the city has efficient vehicle behavior policies that apply to all private vehicles</t>
  </si>
  <si>
    <t>Yes, the city has quantitative evidence demonstrating it is on track to reach its target(s)</t>
  </si>
  <si>
    <t>No third party, but city follows standardized monitoring and evaluation techniques</t>
  </si>
  <si>
    <t>LEED requirements, which do not emphasize energy efficiency, are in place</t>
  </si>
  <si>
    <t>Zoning for Location Efficient Developments, Integration of Planning and Land-Use Planning, Access to Transit Services, Efficient Vehicle Behavior, and Freight</t>
  </si>
  <si>
    <t>MOU Energy Efficiency Savings Targets</t>
  </si>
  <si>
    <t>IOU Energy Efficiency Savings Targets</t>
  </si>
  <si>
    <t>Grand Totals</t>
  </si>
  <si>
    <t>Min Policy Step within Highest Policy Area</t>
  </si>
  <si>
    <t>Best Peforming</t>
  </si>
  <si>
    <t>Calculations by Point Total</t>
  </si>
  <si>
    <t>Calculations by Percentage</t>
  </si>
  <si>
    <t>Best Policy Step within Highest Policy Area</t>
  </si>
  <si>
    <t>Worst Policy Step within Highest Policy Area</t>
  </si>
  <si>
    <t>Poorest Performing</t>
  </si>
  <si>
    <t>Tiebreaker</t>
  </si>
  <si>
    <t>Worst Performing Policy Area</t>
  </si>
  <si>
    <t>Score of Worst Policy Step</t>
  </si>
  <si>
    <t>The community does not have benchmarking requirements</t>
  </si>
  <si>
    <t>Unknown, the community cannot currently quantify progress towards goals</t>
  </si>
  <si>
    <t>Public Workforce</t>
  </si>
  <si>
    <t>Are policies in place that allow municipal workers to telework, use flex schedules, or otherwise minimize the number of commutes to the office?</t>
  </si>
  <si>
    <t>Yes, current government policies minimize municipal employee commutes</t>
  </si>
  <si>
    <t>No, government policies are not in place to minimize municipal employee commutes</t>
  </si>
  <si>
    <t>Does the municipal government offer carpooling or public transit benefits to employees?</t>
  </si>
  <si>
    <t>Does the local government offer carpooling or public transit benefits to municipal employees?</t>
  </si>
  <si>
    <t>Yes, carpooling or public transit benefits are offered to municipal employees</t>
  </si>
  <si>
    <t>No, carpooling or public transit benefits are not offered to municipal employees</t>
  </si>
  <si>
    <t>http://www.sustainableshelby.com/full-plan
Ref. 6.2.1</t>
  </si>
  <si>
    <t xml:space="preserve">Environmentally Preferable Procurement Policy established in 2010 requres the purchase of ENERGY STAR certified equipment </t>
  </si>
  <si>
    <t>Detroit City Code Sections 18-5-23 to 18-5-29</t>
  </si>
  <si>
    <t xml:space="preserve">Environmentally Preferable Purchasing policy. </t>
  </si>
  <si>
    <t>http://www.floridagreenbuilding.org/local-government-certifications</t>
  </si>
  <si>
    <t>Maintenance in capital budget</t>
  </si>
  <si>
    <r>
      <t xml:space="preserve">The City  categorize projects as Upkeep (42%), Upgrade (31%), New/Major Renovation (26%) and Planning (1%).  Upkeep projects are bread and butter asset maintenance projects; Upgrade projects improve an asset (for example installing LED street lights); New/Major Renovation projects either add new assets to the City’s stock or significantly renovate existing assets. 
</t>
    </r>
    <r>
      <rPr>
        <b/>
        <sz val="9"/>
        <color indexed="8"/>
        <rFont val="Calibri"/>
        <family val="2"/>
      </rPr>
      <t>Note: MBTA is a state agency</t>
    </r>
  </si>
  <si>
    <t>http://www.cityofboston.gov/Images_Documents/08%20Capital%20Planning_adopted_tcm3-31763.pdf</t>
  </si>
  <si>
    <t>This question is very difficult to answer as we have seven independent bureaus and divisions that manage facilities.  Each has its own O&amp;M and capital budgets which vary widely depending on general fund budgets and construction related to voter approved initiatives (bond measures).  For reporting purposes we're submitting just one - the Office of Management and Finance - Facilities.   Based on the FY 2013-14 Requested Budget, 25% is budgeted for operations and maintenance.  (O&amp;M, $$9,505,000/ Total Budget, $37,778,000 = 25%)</t>
  </si>
  <si>
    <t xml:space="preserve">Approximately 5% of capital funds from 2014-2023 are dedicated to new assets and infrastructure, while 95% is dedicated to renewal and enhancement of existing assets and infrastructure. (However, "enhancement" includes  renovation or replacement of existing facilities.) </t>
  </si>
  <si>
    <t>http://onesanfrancisco.org/wp-content/uploads/Proposed-Capital-Plan-FY14-23.pdf</t>
  </si>
  <si>
    <t xml:space="preserve">69% of our capital budget is devoted to capital maintenance, 18% of our capital budget is dedicated to discretionary (new initiatives) capital projects, and 13% is dedicated to capital payments (debt payments or other contractual obligations). In 2007, the citizens of Denver voted to dedicate an additional 2.5 mills in increased annual property taxes annually to repair deteriorating infrastructure. As a result, the capital budget process supports a commitment to yearly, life cycle maintenance of basic infrastructure — by prioritizing annual capital funding allocations for maintenance ahead of new, discretionary projects. </t>
  </si>
  <si>
    <t>We are a built-out city.  Therefore, it would be fair to say that our entire capital budget is devoted to existing areas.  The vast majority of our capital budget is for renovation, replacement, or rightsizing of existing assets or infrastructure.  Even the handful of projects to develop new infrastructure (ex. new bridge) are serving developed or redeveloping areas.</t>
  </si>
  <si>
    <t xml:space="preserve">In FY 13, the City is spending approximately 35% of its Capital Improvement budget on maintenance and upgrades of existing infrastructure and the remaining towards new construction/expansion.
The CIP budget is used for new infrastructure or replacement of infrastructure that can be capitalized.  For maintenance of existing assets and  infrastructure, the City does rely on its O&amp;M (Operations &amp; Maintenance) funding.  </t>
  </si>
  <si>
    <t xml:space="preserve">No set percentages. City's Recommended Operating and Capital Budget FY13 states (page 341): "The City’s FY2013 – FY2017 Capital Improvement Program contains capital improvement projects totaling $380.6 million. The majority of the capital projects focus on repairing and renovating existing City infrastructure such as roads, parks, buildings, parking structures, water and wastewater pipelines and plantfacilities, and stormwater infrastructure.
The City’s FY2013 capital budget is $104.8 million. This is a 31.4% increase from the FY2012 capital budget. The FY2012 budget contained a significant number of capital projects which were oriented toward repairing and renovating existing infrastructure. The FY2013 capital budget continues to focus on repairing and renovating existing infrastructure. "
In addition to allocated budgets, the City operates a Tree Trust Fund that distributes funds for tree planting on public property or research involving trees. Funds are generated from collected fines from landowners who violate the City's tree ordinance and from developers who pay to remove trees.
</t>
  </si>
  <si>
    <t>http://www.tampagov.net/dept_Mayor/Presentations/files/FY13_Tampa_BudgetBook.pdf</t>
  </si>
  <si>
    <t>Adam Stern</t>
  </si>
  <si>
    <t>http://www.flexworks.org/fitc/</t>
  </si>
  <si>
    <t>http://www.nyc.gov/html/planyc2030/html/publications/publications.shtml</t>
  </si>
  <si>
    <t>Glen Hadwen</t>
  </si>
  <si>
    <t>http://charmeck.org/mecklenburg/county/LUESA/sustainability/Documents/MC%20Environmental%20Sustainability%20Plan%20FY2012.pdf</t>
  </si>
  <si>
    <t>Policy Step 2: Transparent Government Energy Usage</t>
  </si>
  <si>
    <t>Annual Public Reporting</t>
  </si>
  <si>
    <t>http://www.minneapolismn.gov/sustainability/approach/sustainability_leadingbyexample</t>
  </si>
  <si>
    <t>http://www.phila.gov/green/index.html</t>
  </si>
  <si>
    <t>http://www.greenprintdenver.org/wp-content/uploads/2012/09/GreenPrintReport_FINAL_Spread.pdf</t>
  </si>
  <si>
    <t>http://www.elpasotexas.gov/sustainability/reports.asp</t>
  </si>
  <si>
    <t>http://www.indy.gov/eGov/City/DPW/SustainIndy/Pages/SustainIndyHome.aspx</t>
  </si>
  <si>
    <t>http://issuu.com/austinclimateprotection/docs/city_of_austin_2010-2011_climate_action_report</t>
  </si>
  <si>
    <t>http://www.sacgp.org/climate_action_plan.html</t>
  </si>
  <si>
    <t>http://www.sandiego.gov/environmental-services/energy/index.shtml</t>
  </si>
  <si>
    <t>http://stlouis-mo.gov/government/departments/mayor/initiatives/sustainability/Sustainable-Policies-and-Ordinances.cfm</t>
  </si>
  <si>
    <t>Boston began tracking municipal building energy use in 2011, with the intention of benchmarking as data becomes more complete. Boston's new benchmarking policy includes a lead-by example initiative.  The City of Boston will shortly begin annually disclosing its energy and water use in all of all of its facilities starting with 2012 building data.</t>
  </si>
  <si>
    <t>\\Home\data\Public\Projects\Community EE\City Scorecard\Communications and Roll Out\Infographic\CBSA-EST2012-01.xls</t>
  </si>
  <si>
    <t>Energy use is annually tracked for 100% of electricity and natural gas accounts.  Each account is benchmarked/compared to the prior years usage and cost.  Bureau by bureau reports are generated.</t>
  </si>
  <si>
    <t>Portland Operations Summary 2009-2011</t>
  </si>
  <si>
    <t xml:space="preserve">2011 Existing Commercial Buildings Energy Performance Ordinance stipulated the benchmarking of public and private (non-residential) buildings using Energy Star Portfolio Manager. Buildings must be over 10,000 SF to be subject to the requirement. The reported energy performance information will be disclosed via public website. The Benchmarking Ordinance also requires disclosure of the Energy Star score or the EUI in cases where Portfolio Manager cannot produce a score.
SFPUC, which provides electricity and energy services to city agencies, published a 2011 Energy Benchmark Report for Municipal Buildings. The report noted that the city benchmarked 69% of its energy use.  The report was covered in local and national press, presentations at conferences including GreenBuild, and trade publications. </t>
  </si>
  <si>
    <t>http://www.sfenvironment.org/energy/energy-efficiency/commercial-and-multifamily-properties/existing-commercial-buildings-energy-performance-ordinance</t>
  </si>
  <si>
    <t>The rating and disclosure provision of the Greener, Greater Buildings Plan requires annual ENERGY STAR benchmarking and public disclosure for city buildings as well as large commercial and multifamily buildings.</t>
  </si>
  <si>
    <t>http://www.buildingrating.org/content/policy-brief-new-york-city</t>
  </si>
  <si>
    <t>Council Bill 116731 enacted 2010. They benchmark 60% of building square footage on an annual basis.</t>
  </si>
  <si>
    <t>http://www.seattle.gov/environment/documents/EBR-muni-buildings.pdf</t>
  </si>
  <si>
    <r>
      <t xml:space="preserve">On Nov. 6, 2008, the Austin City Council approved the Energy Conservation Audit and Disclosure Ordinance (#20081106-047), one of the most aggressive pieces of building energy efficiency legislation in the nation. It requires building energy rating and disclosure for nonresidential facilities and mandatory energy audits for homes and apartment complexes. Applies to municipal buildings. In 2011, the the 25 largest city owned buildings complied with ECAD by rating the buildings in EPA Portfolio Manager.  These buildings totalled 3.8 Million square feet of real estate, which is </t>
    </r>
    <r>
      <rPr>
        <b/>
        <sz val="9"/>
        <color indexed="8"/>
        <rFont val="Calibri"/>
        <family val="2"/>
      </rPr>
      <t>73 % of the total</t>
    </r>
    <r>
      <rPr>
        <sz val="9"/>
        <color indexed="8"/>
        <rFont val="Calibri"/>
        <family val="2"/>
      </rPr>
      <t xml:space="preserve">.  In 2013, 15 more buildings will be benchmarked with portfolio manager, adding 700,000 square feet, bringing the total to 87%. </t>
    </r>
  </si>
  <si>
    <t>http://www.buildingrating.org/content/policy-brief-austin-tx</t>
  </si>
  <si>
    <t xml:space="preserve">Clean Affordable Energy Act of 2008  requires the energy performance of public and private buildings to be rated using ENERGY STAR software and disclosed annually. Public buildings were benchmarked beginning in 2010 and disclosed thereafter via an online database </t>
  </si>
  <si>
    <t>http://www.buildingrating.org</t>
  </si>
  <si>
    <t>Ch. 47-190 is a Minneapolis Ordinance that requires benchmarking of city buildings &gt; 25000 SF</t>
  </si>
  <si>
    <t>The majority of City buildings are benchmarked</t>
  </si>
  <si>
    <t>The city is using energyStar Portfolio Manager to benchmark all facilities of more than 10,000 square feet in 2012.  In addition, the City's utility bill management system tracks energy use in all facilities on a monthly basis.</t>
  </si>
  <si>
    <t>Denver requires that new construction and major renovations of city-owned and operated buildings be "Designed to Earn the ENERGY STAR" and subsequently benchmarked in ENERGY STAR Portfolio Manager.  In conjunction with the Better Buildings Challenge, the City will be benchmarking monthly throughout the year.  This equates to  approximately 70%  of the total government building square feet.  In addition, as part of the Better Building Challenge DOE will benchmark City energy use through Portfolio Manager.</t>
  </si>
  <si>
    <t>http://www4.eere.energy.gov/challenge/partners/better-buildings/denver</t>
  </si>
  <si>
    <t>Yes, 100% of municipal buildings are  being benchmarked.  No benchmarking requirement is in place, but the City signed a commitment to be a municipal partner in the DOE's Better Buildings Challenge, where participation included benchmarking all City buildings for the commitment.</t>
  </si>
  <si>
    <t>http://www4.eere.energy.gov/challenge/partners/better-buildings/houston</t>
  </si>
  <si>
    <t>City of Dallas has conducted bench-marking for electricity for about 60% of building stock; therefore, should receive 0.5 point.</t>
  </si>
  <si>
    <t>http://www.dallascityhall.com/oeq/ems.html</t>
  </si>
  <si>
    <t>Yes, through DOE's Energy Star Portfolio Manager. Currently there is approximately 75% of the City's square footage accounted for with goals to expand to 100%.</t>
  </si>
  <si>
    <t>City of San Antonio benchmarks 75% of its building portfolio (percentage by square feet); energy consumption data is uploaded monthly.  No benchmarking requirement is in place, although City of San Antonio is supporting state legislation to require benchmarking of public buildings (House Bill 2894).  Additionally the City is reviewing adoption of a benchmarking and disclosure requirement for commercial buildings in San Antonio.</t>
  </si>
  <si>
    <t xml:space="preserve">All 183 buildings are entered in Energy Star Portfolio Manager. 11 of 183 buildings are up to date on benchmarking (6%) this is low due to lack of data entered into the system over the past 12 months. See 1.2 for explanation. </t>
  </si>
  <si>
    <t xml:space="preserve">Energy use monitored and benchmarked using Smart Energy Management and Monitoring System.  In addition, the City is beginning to compile City assets into the Energy Star Portfolio Manager (ESPM), which is on going. </t>
  </si>
  <si>
    <t>www.buildingrating.org</t>
  </si>
  <si>
    <t>We benchmarked our energy data for 2007 as part of establishing the goal to meet 30% energy reduction, and we are in the process of reviewing that energy use anually.</t>
  </si>
  <si>
    <t>We are entering data in Portfolio Manager and pursuing Energy Star certification for all eligible properties.</t>
  </si>
  <si>
    <t>Yes.  Energy benchmarking is conducted through the EPA’s Portfolio Manager software for 5.7 million sq ft of City building space. This is monitored on a monthly basis by the city.</t>
  </si>
  <si>
    <t>http://www.energystar.gov/index.cfm?c=evaluate_performance.bus_portfoliomanager</t>
  </si>
  <si>
    <t xml:space="preserve">The Sustainable Facilities Initiative has led to the benchmarking of 61 City facilities. It is currently being evaluated for implementation in other City facilities. A benchmarking requirement is not formally in place. </t>
  </si>
  <si>
    <t xml:space="preserve">We track energy in 52 City Facilities and 38 County Facilities = 90 total being tracked.  </t>
  </si>
  <si>
    <t>Policy Step 3: Comprehensive Energy Management Strategy for Government Operations</t>
  </si>
  <si>
    <t>Local Government Energy Efficiency Goals</t>
  </si>
  <si>
    <t xml:space="preserve">Executive Order issued in 2007 calls for reduction in municipal GHG emissions 7 percent by 2012 and 80 percent by 2050 compared to 1990. Boston has also been designated a Massachusetts Green Community, and is required to develop a plan to reduce energy use by 20% by 2014. </t>
  </si>
  <si>
    <t>http://www.cityofboston.gov/environmentalandenergy/conservation/Renew_Boston.asp</t>
  </si>
  <si>
    <t>The City's Climate Action Plan includes a a goal to reduce carbon emissions from City and County operations 50 percent from 1990 levels by 2030. The CAP is codified as binding city policy BCP-ENN-5.02.</t>
  </si>
  <si>
    <t>http://www.portlandoregon.gov/bps/49989</t>
  </si>
  <si>
    <t>Section 902 of city code establishes goals to reduce greenhouse gas (GHG) emissions from 1990 levels by 20% by 2012, 25% by 2017, 40% by 2025 and 80% by 2050.</t>
  </si>
  <si>
    <t>Executive Order 109 of 2007 established a goal to reduce Municipal GHG emissions 30% by 2017 (30 x 17 Plan).</t>
  </si>
  <si>
    <t>http://www.nyc.gov/html/om/pdf/2007/pr383-07_eo_109.pdf</t>
  </si>
  <si>
    <t>In 2011, City Council Resolution 31312 outlined a goal for a 30% reduction in emissions from 2008 levels from City operations (72,600 Metric Tons C02e) by 2020. Energy reduction standard is 20% by 2020.</t>
  </si>
  <si>
    <t>http://www.seattle.gov/environment/climate_plan.htm</t>
  </si>
  <si>
    <t>Resolution No. 20070215-023 passed in 2007 calls for carbon-neutral city operations by 2020.</t>
  </si>
  <si>
    <t>http://www.austintexas.gov/sites/default/files/files/ACPP%20resolution%2020070215-023.pdf</t>
  </si>
  <si>
    <t>Greenprint, the city's sustainability program, includes a goal to reduce carbon dioxide emissions from municipal operations by 1.5 percent annually. Sustainability indicators were approved by the city council in January, 2012.</t>
  </si>
  <si>
    <t>Goal to improve overall energy efficiency of municipal buildings 10% by 2015 included in 2015 Sustainable Chicago Action Plan.</t>
  </si>
  <si>
    <t>http://www.cityofchicago.org/city/en/progs/env/sustainable_chicago2015.html</t>
  </si>
  <si>
    <t>GreenWorks, the city's sustainability initiative, includes a target to lower city government energy consumption by 30 percent from 2008 level by 2015.</t>
  </si>
  <si>
    <t>http://www.phila.gov/green/greenworks/</t>
  </si>
  <si>
    <t>Denver's 2020 goals include a target to reduce energy consumed in city-operated buildings and vehicles by 20% compared to 2012 baseline.</t>
  </si>
  <si>
    <t>http://www.greenprintdenver.org/2020goals</t>
  </si>
  <si>
    <t>Government participates in city-wide goal to reduce energy use by 15% by 2015. The goals in the Sustainability Plan were adopted in 2009 (City Council Ordinance 09-0272)</t>
  </si>
  <si>
    <t>http://www.baltimorecitycouncil.com/Council_Journal/09-03-02~6th.pdf</t>
  </si>
  <si>
    <t>The City has engaged a stakeholder group to develop more comprehensive climate action plan in 2013 with energy efficiency targets for city operations.</t>
  </si>
  <si>
    <t>http://www.houstontx.gov/mayor/press/20130208.html</t>
  </si>
  <si>
    <t>Results</t>
  </si>
  <si>
    <t>Score</t>
  </si>
  <si>
    <t>Recommended Source</t>
  </si>
  <si>
    <t>Total Sector Score</t>
  </si>
  <si>
    <t>Max Score</t>
  </si>
  <si>
    <t>Community-Wide</t>
  </si>
  <si>
    <t>Buildings</t>
  </si>
  <si>
    <t>Utilities</t>
  </si>
  <si>
    <t>Transportation</t>
  </si>
  <si>
    <t>Incentives</t>
  </si>
  <si>
    <t>Mandates</t>
  </si>
  <si>
    <t>Answer</t>
  </si>
  <si>
    <t>Policy Area 1</t>
  </si>
  <si>
    <t>Policy Area 2</t>
  </si>
  <si>
    <t>Policy Area 3</t>
  </si>
  <si>
    <t>Policy Area 4</t>
  </si>
  <si>
    <t>Locality Research</t>
  </si>
  <si>
    <t>Getting Started</t>
  </si>
  <si>
    <t>Question</t>
  </si>
  <si>
    <t>Improve Access to Actionable Information</t>
  </si>
  <si>
    <t>Comprehensive Energy Strategy</t>
  </si>
  <si>
    <t>Getting Started Score</t>
  </si>
  <si>
    <t>Improve Access to Actionable Information Score</t>
  </si>
  <si>
    <t>Comprehensive Energy Strategy Score</t>
  </si>
  <si>
    <t>Incentives Score</t>
  </si>
  <si>
    <t>Arlington County, VA</t>
  </si>
  <si>
    <t>Boulder, CO</t>
  </si>
  <si>
    <t>Burlington, VT</t>
  </si>
  <si>
    <t>Dubuque, IA</t>
  </si>
  <si>
    <t>Knoxville, TN</t>
  </si>
  <si>
    <t>Lawrence, KS</t>
  </si>
  <si>
    <t>Madison, WI</t>
  </si>
  <si>
    <t>Park City, UT</t>
  </si>
  <si>
    <t>Grand Total</t>
  </si>
  <si>
    <t>Local Government</t>
  </si>
  <si>
    <t>Analysis of Results</t>
  </si>
  <si>
    <t xml:space="preserve">Does your city provide any type of upfront support to developers/owners for building energy code compliance? </t>
  </si>
  <si>
    <t>Energy Codes Ocean</t>
  </si>
  <si>
    <t>Does the city have building energy audit requirements?</t>
  </si>
  <si>
    <t>2009 IECC</t>
  </si>
  <si>
    <t>Last Update XXXX</t>
  </si>
  <si>
    <t>Locality Population</t>
  </si>
  <si>
    <t>State Population</t>
  </si>
  <si>
    <t>B34</t>
  </si>
  <si>
    <t>Community-wide</t>
  </si>
  <si>
    <t xml:space="preserve">Buildings </t>
  </si>
  <si>
    <t>Solution: Create mirror of chart on hidden Sheet with Max Score as the first column.  The use vlookups to pull in the sector name.  From there, use the sector name to pull in the piece of analysis.</t>
  </si>
  <si>
    <t>Analysis Chart</t>
  </si>
  <si>
    <t>A8</t>
  </si>
  <si>
    <t>For building energy codes, is a third-party compliance program set up as a compliance option?  If so, is it mandatory?</t>
  </si>
  <si>
    <t>Do households in the city have access to a Home Performance with ENERGY STAR Program?</t>
  </si>
  <si>
    <t>Does the city have building retrofit requirements?</t>
  </si>
  <si>
    <t>A24</t>
  </si>
  <si>
    <t>A23, A26</t>
  </si>
  <si>
    <t>Questions</t>
  </si>
  <si>
    <t>Charts</t>
  </si>
  <si>
    <t>A25</t>
  </si>
  <si>
    <t>&lt;5,000 square feet and greater</t>
  </si>
  <si>
    <t>&gt;10,000 square feet and greater</t>
  </si>
  <si>
    <t>&gt;35,000 square feet and greater</t>
  </si>
  <si>
    <t>A28</t>
  </si>
  <si>
    <t>&gt;10 units or 10,000 square feet and greater</t>
  </si>
  <si>
    <t>&gt;35 units or 35,000 square feet and greater</t>
  </si>
  <si>
    <t>Improved Access to Info</t>
  </si>
  <si>
    <t>A9</t>
  </si>
  <si>
    <t>Local Authority Permitted</t>
  </si>
  <si>
    <t>&gt; or equal to 2012 IECC</t>
  </si>
  <si>
    <t>&gt; 2009 IECC</t>
  </si>
  <si>
    <t>1998 - 2006 IECC or greater</t>
  </si>
  <si>
    <t>A8, A9</t>
  </si>
  <si>
    <t xml:space="preserve">A22 </t>
  </si>
  <si>
    <t>A7, A10</t>
  </si>
  <si>
    <t>A11</t>
  </si>
  <si>
    <t>&gt; or equal to 2012 IECC or ASHRAE 2010</t>
  </si>
  <si>
    <t>&gt; 2009 IECC or ASHRAE 2007</t>
  </si>
  <si>
    <t>1998 - 2006 MECC/IECC or ASHRAE 1999 - 2004 or greater</t>
  </si>
  <si>
    <t>Res - Local Authority Permitted OR Local Code Only</t>
  </si>
  <si>
    <t>Com - State Authority OR Stretch Code</t>
  </si>
  <si>
    <t>Com - Local Authority Permitted OR Local Code Only</t>
  </si>
  <si>
    <t>A12</t>
  </si>
  <si>
    <t>Locality  Name</t>
  </si>
  <si>
    <t>A39</t>
  </si>
  <si>
    <t>Participation in third-party plan review or performance testing is required</t>
  </si>
  <si>
    <t>No, third party compliance program exists</t>
  </si>
  <si>
    <t>A51</t>
  </si>
  <si>
    <t>A49</t>
  </si>
  <si>
    <t>ENERGY STAR</t>
  </si>
  <si>
    <t>Metric</t>
  </si>
  <si>
    <t>Residential Energy Code Stringency</t>
  </si>
  <si>
    <t>Commercial Energy Code Stringency</t>
  </si>
  <si>
    <t>Alternate Code Compliance Strategies</t>
  </si>
  <si>
    <t>Automatically Populated Cell</t>
  </si>
  <si>
    <t>State Authority Only</t>
  </si>
  <si>
    <t>Local Code Only</t>
  </si>
  <si>
    <t xml:space="preserve">A21 </t>
  </si>
  <si>
    <t>Yes, we provide a form of upfront compliance support</t>
  </si>
  <si>
    <t>No, we do not provide compliance support</t>
  </si>
  <si>
    <t xml:space="preserve">Does the Multiple Listing Service (MLS) that serves the metro area include fields for the energy efficiency of homes?
</t>
  </si>
  <si>
    <t>A29</t>
  </si>
  <si>
    <t>Yes, energy efficiency features are on the MLS that serves the metro area</t>
  </si>
  <si>
    <t>No, energy efficiency features are not on the MLS</t>
  </si>
  <si>
    <t>Yes, the city is an active advocate</t>
  </si>
  <si>
    <t>No, the city is not an active advocate</t>
  </si>
  <si>
    <t>A37, A39</t>
  </si>
  <si>
    <t>Third-party program is set up as a compliance option, but is not mandatory</t>
  </si>
  <si>
    <t>A61</t>
  </si>
  <si>
    <t>Stretch Code</t>
  </si>
  <si>
    <t>Intro Tab</t>
  </si>
  <si>
    <t>Buildings Tab</t>
  </si>
  <si>
    <t>Analysis</t>
  </si>
  <si>
    <t>MMBTU</t>
  </si>
  <si>
    <t>MWh</t>
  </si>
  <si>
    <t>Manual Entry Cell</t>
  </si>
  <si>
    <t>F13, G13, H13</t>
  </si>
  <si>
    <t>I13</t>
  </si>
  <si>
    <t>Gallons</t>
  </si>
  <si>
    <t>VMT</t>
  </si>
  <si>
    <t xml:space="preserve">Locality Households
</t>
  </si>
  <si>
    <t>Local Government Operations</t>
  </si>
  <si>
    <t>ACEEE Scorecard Detailed Results</t>
  </si>
  <si>
    <t>City Spending on Building Compliance</t>
  </si>
  <si>
    <t>Commercial Building Benchmarking and Disclosure Policies</t>
  </si>
  <si>
    <t>Residential Building Benchmarking and Disclosure Policies</t>
  </si>
  <si>
    <t>Comprehensive Efficiency and Contractor Infrastructure</t>
  </si>
  <si>
    <t>Incentives and Financing for Efficient Buildings</t>
  </si>
  <si>
    <t>Green Building Requirements</t>
  </si>
  <si>
    <t>Explore Opportunities for Different Sectors</t>
  </si>
  <si>
    <t>A7</t>
  </si>
  <si>
    <t>Yes, urban heat mitigation programs have been implemented</t>
  </si>
  <si>
    <t>No, urban heat mitigation programs have not been implemented</t>
  </si>
  <si>
    <t>Performance Management Strategies</t>
  </si>
  <si>
    <t>Improve Access to Info</t>
  </si>
  <si>
    <t xml:space="preserve">Has your city formally adopted a long-term community-wide energy efficiency goal/target, or a related target? </t>
  </si>
  <si>
    <t>Energy Efficiency Targets</t>
  </si>
  <si>
    <t>A26</t>
  </si>
  <si>
    <t>Yes, dedicated funding is allocated for energy efficiency goals</t>
  </si>
  <si>
    <t>Yes, the city is on track to meet energy efficiency goals</t>
  </si>
  <si>
    <t>No, the city is not on track to meet energy efficiency goals</t>
  </si>
  <si>
    <t>Efficient Distributed Energy Generation</t>
  </si>
  <si>
    <t>A30</t>
  </si>
  <si>
    <t>City has CHP capacity of 15MW or greater per 100,000 residents</t>
  </si>
  <si>
    <t>City has CHP capacity of 10MW or greater per 100,000 residents</t>
  </si>
  <si>
    <t>City has CHP capacity of 5 MW or greater per 100,000 residents</t>
  </si>
  <si>
    <t>City has CHP capacity of 2.5 MW or greater per 100,000 residents</t>
  </si>
  <si>
    <t>City has no CHP capacity</t>
  </si>
  <si>
    <t>A31</t>
  </si>
  <si>
    <t>City has at least one district energy system that integrates CHP</t>
  </si>
  <si>
    <t>No installed CHP, but city has done significant planning for future district energy</t>
  </si>
  <si>
    <t>City has at least one district energy system, but does not integrate with CHP</t>
  </si>
  <si>
    <t>City has no district energy and has not planned for future systems</t>
  </si>
  <si>
    <t>Does the city have any policies in place to ensure the continual implementation of heat island mitigation strategies?</t>
  </si>
  <si>
    <t>A32</t>
  </si>
  <si>
    <t>Yes, policies are in place to manage to urban heat island effect</t>
  </si>
  <si>
    <t>No, policies are not in place to manage to urban heat island effect</t>
  </si>
  <si>
    <t>Scoring Criteria</t>
  </si>
  <si>
    <t>A16</t>
  </si>
  <si>
    <t>Yes, an annual report is released tracking progress towards energy-related goals</t>
  </si>
  <si>
    <t>No annual report is released detailing progress on energy efficiency efforts</t>
  </si>
  <si>
    <t>Does the city annually release reports on progress toward community-wide goals and performance of efficiency-related efforts?</t>
  </si>
  <si>
    <t>Stakeholder group formed to formulate targets, but targets not yet identified</t>
  </si>
  <si>
    <t>No, dedicated funding does not exist for energy efficiency goals</t>
  </si>
  <si>
    <t>ICF International CHP 
Installation Database</t>
  </si>
  <si>
    <t>Electric and Water Utility</t>
  </si>
  <si>
    <t>Investor Owned Utility</t>
  </si>
  <si>
    <t>Municipally Owned Utility</t>
  </si>
  <si>
    <t>Electric Program Spending</t>
  </si>
  <si>
    <t>Natural Gas Program Spending</t>
  </si>
  <si>
    <t>Provision of Energy Data By Utility</t>
  </si>
  <si>
    <t>A8,A11</t>
  </si>
  <si>
    <t>A9, A12</t>
  </si>
  <si>
    <t>A13</t>
  </si>
  <si>
    <t>Efficient Stormwater Management</t>
  </si>
  <si>
    <t>A14</t>
  </si>
  <si>
    <t>Yes, public funding is in place for green stormwater infrastructure</t>
  </si>
  <si>
    <t>No, public funding is not in place for green stormwater infrastructure</t>
  </si>
  <si>
    <t>A22</t>
  </si>
  <si>
    <t>Does your utility provide automated benchmarking services (ABS) through ENERGY STAR Portfolio Manager for multi-tenant commercial and multifamily buildings?</t>
  </si>
  <si>
    <t>A23</t>
  </si>
  <si>
    <t>Yes, ABS is available through the ENERGY STAR Portfolio Manager</t>
  </si>
  <si>
    <t>Is community-wide energy usage information
available at the aggregate level for community planning
and evaluation purposes?</t>
  </si>
  <si>
    <t>Water Efficiency</t>
  </si>
  <si>
    <t>A33</t>
  </si>
  <si>
    <t>Yes, water efficiency programs are funded</t>
  </si>
  <si>
    <t>No, water efficiency programs are not funded</t>
  </si>
  <si>
    <t>A34</t>
  </si>
  <si>
    <t>Yes, water savings targets have been set</t>
  </si>
  <si>
    <t>No, water savings targets have not been set</t>
  </si>
  <si>
    <t>Energy Efficiency in Water Services</t>
  </si>
  <si>
    <t>Does the local wastewater utility self-generate energy through methane capture or any other means?</t>
  </si>
  <si>
    <t>A35</t>
  </si>
  <si>
    <t>A36</t>
  </si>
  <si>
    <t>Yes, the local wastewater utility self-generates energy</t>
  </si>
  <si>
    <t>No, the local wastewater utility does not self-generate energy</t>
  </si>
  <si>
    <t>Open Energy Info</t>
  </si>
  <si>
    <t>EIA Form 176 (2011)</t>
  </si>
  <si>
    <t>Utility Research</t>
  </si>
  <si>
    <t>EIA Form 861 (2011)</t>
  </si>
  <si>
    <t>Savings from Electric Energy Efficiency Programs</t>
  </si>
  <si>
    <t>Green Stormwater Infrastructure</t>
  </si>
  <si>
    <t>Has the city enacted policies, rates or incentives that encourage developers and property owners to incorporate green infrastructure onto private properties to manage stormwater?</t>
  </si>
  <si>
    <t>A53</t>
  </si>
  <si>
    <t>Yes, the city has enacted policies, rates, or incentives for this purpose</t>
  </si>
  <si>
    <t>No, the city has not enacted policies, rates, or incentives for this purpose</t>
  </si>
  <si>
    <t>Energy Efficiency Savings Targets</t>
  </si>
  <si>
    <t>1.5% or greater</t>
  </si>
  <si>
    <t>1% - 1.49%</t>
  </si>
  <si>
    <t>0.5% - 0.99%</t>
  </si>
  <si>
    <t>0.1% - 0.49%</t>
  </si>
  <si>
    <t>&lt;.01%</t>
  </si>
  <si>
    <t>Yes, a cost cap is applied to the mandate</t>
  </si>
  <si>
    <t>No, a cost cap is not applied to the mandate</t>
  </si>
  <si>
    <t>A62</t>
  </si>
  <si>
    <t>A63</t>
  </si>
  <si>
    <t>Yes, natural gas is included in the mandate</t>
  </si>
  <si>
    <t>No, natural gas is not included in the mandate</t>
  </si>
  <si>
    <t xml:space="preserve">Is there public funding in place for green stormwater infrastructure on public property, such as streets, schools, and parks? </t>
  </si>
  <si>
    <t>Has your electric utility implemented the Green Button or similar online services that provide energy consumption data to utility customers in a common, downloadable format?</t>
  </si>
  <si>
    <t>Yes, energy efficiency is incorporated into one of the aforementioned agreements</t>
  </si>
  <si>
    <t>Electric Program Spending - MOUs</t>
  </si>
  <si>
    <t xml:space="preserve">2.5% + </t>
  </si>
  <si>
    <t xml:space="preserve">2.25-2.49% </t>
  </si>
  <si>
    <t xml:space="preserve">2-2.24% </t>
  </si>
  <si>
    <t xml:space="preserve">1.5-1.99% </t>
  </si>
  <si>
    <t xml:space="preserve">1-1.49% </t>
  </si>
  <si>
    <t>.5-.99%</t>
  </si>
  <si>
    <t>.25-.49%</t>
  </si>
  <si>
    <t xml:space="preserve">&lt;.25% </t>
  </si>
  <si>
    <t>Electric Program Spending - IOUs</t>
  </si>
  <si>
    <t>Charts  (and answers) - A46</t>
  </si>
  <si>
    <t>Charts  (and answers) - A49</t>
  </si>
  <si>
    <t>$35 or greater</t>
  </si>
  <si>
    <t xml:space="preserve">$28 -34.99 </t>
  </si>
  <si>
    <t xml:space="preserve">$21-27.99 </t>
  </si>
  <si>
    <t xml:space="preserve">$14-20.99 </t>
  </si>
  <si>
    <t>$7-13.99</t>
  </si>
  <si>
    <t>$1-6.99</t>
  </si>
  <si>
    <t xml:space="preserve">&lt;$1 </t>
  </si>
  <si>
    <t>Natural Gas Program Spending - MOUs</t>
  </si>
  <si>
    <t>A52</t>
  </si>
  <si>
    <t>1.4% or greater</t>
  </si>
  <si>
    <t>1 - 1.39%</t>
  </si>
  <si>
    <t>.6 - .99%</t>
  </si>
  <si>
    <t>.2 - .59%</t>
  </si>
  <si>
    <t>&lt;.2%</t>
  </si>
  <si>
    <t>N/a, there is no savings target</t>
  </si>
  <si>
    <t xml:space="preserve">Questions </t>
  </si>
  <si>
    <t>Public Lighting</t>
  </si>
  <si>
    <t>Does your city have energy efficiency standards for outdoor lighting, including street lighting?</t>
  </si>
  <si>
    <t>Yes, the city has an energy efficiency standard in place for outdoor lighting</t>
  </si>
  <si>
    <t>A policy is not in place, but the city has begun an outdoor lighting replacement program</t>
  </si>
  <si>
    <t>No, a standard is not in place and retrofits are not planned</t>
  </si>
  <si>
    <t>No, lights are not activated by sensors nor scheduled for only when needed</t>
  </si>
  <si>
    <t xml:space="preserve">Yes, lights are activated by sensors and/or are scheduled </t>
  </si>
  <si>
    <t>A10</t>
  </si>
  <si>
    <t>No, neither energy efficiency nor lifecycle costs are considered in procurement</t>
  </si>
  <si>
    <t>Yes, energy efficiency and/or lifecycle costs are considered in procurement</t>
  </si>
  <si>
    <t>Sustainable Infrastructure Policies</t>
  </si>
  <si>
    <t>At least 75%</t>
  </si>
  <si>
    <t>50 - 74.9%</t>
  </si>
  <si>
    <t>25 - 49.9%</t>
  </si>
  <si>
    <t>&lt;25%</t>
  </si>
  <si>
    <t>Performance Management and Reporting</t>
  </si>
  <si>
    <t>A19</t>
  </si>
  <si>
    <t>Yes, the city publically reports on the progress towards goals at least annually</t>
  </si>
  <si>
    <t>Building Benchmarking</t>
  </si>
  <si>
    <t>A20</t>
  </si>
  <si>
    <t>0 - 24.9%</t>
  </si>
  <si>
    <t>Local Government Energy Efficiency Targets</t>
  </si>
  <si>
    <t>Energy efficiency targets have been identified, but not formally adopted</t>
  </si>
  <si>
    <t>Yes, a target has been adopted through Executive Order or City Resolution</t>
  </si>
  <si>
    <t>No, no targets have been adopted nor are being planned</t>
  </si>
  <si>
    <t>Progress Towards Efficiency Goals</t>
  </si>
  <si>
    <t>Yes, the city employs a third party for EM&amp;V of progress towards goals</t>
  </si>
  <si>
    <t>A21</t>
  </si>
  <si>
    <t>Yes, outreach and community engagement are part of goals</t>
  </si>
  <si>
    <t>No, outreach and community engagement are not part of goals</t>
  </si>
  <si>
    <t>Yes, departmental incentives are in place for energy efficient actions</t>
  </si>
  <si>
    <t>No, departmental incentives are not in place for energy efficient actions</t>
  </si>
  <si>
    <t>Fleet Efficiency and Vehicle Infrastructure</t>
  </si>
  <si>
    <t>Does the local government have fuel efficiency requirements for public fleet vehicles?</t>
  </si>
  <si>
    <t>Yes, there are fuel efficiency requirements for the public fleet</t>
  </si>
  <si>
    <t>No, there aren't fuel efficiency requirements for the public fleet</t>
  </si>
  <si>
    <r>
      <t xml:space="preserve">Both a right-sizing policy </t>
    </r>
    <r>
      <rPr>
        <b/>
        <sz val="11"/>
        <color indexed="8"/>
        <rFont val="Calibri"/>
        <family val="2"/>
      </rPr>
      <t xml:space="preserve">AND a </t>
    </r>
    <r>
      <rPr>
        <sz val="11"/>
        <color theme="1"/>
        <rFont val="Calibri"/>
        <family val="2"/>
        <scheme val="minor"/>
      </rPr>
      <t>policy to encourage efficient vehicle usage is in place</t>
    </r>
  </si>
  <si>
    <r>
      <t xml:space="preserve">A right-sizing policy </t>
    </r>
    <r>
      <rPr>
        <b/>
        <sz val="11"/>
        <color indexed="8"/>
        <rFont val="Calibri"/>
        <family val="2"/>
      </rPr>
      <t>OR</t>
    </r>
    <r>
      <rPr>
        <sz val="11"/>
        <color theme="1"/>
        <rFont val="Calibri"/>
        <family val="2"/>
        <scheme val="minor"/>
      </rPr>
      <t xml:space="preserve"> a policy to encourage efficient vehicle usage is in place</t>
    </r>
  </si>
  <si>
    <t>Neither a right-sizing policy nor a policy to encourage efficient vehicle usage is in place</t>
  </si>
  <si>
    <t>The city has not installed electric vehicle charging stations</t>
  </si>
  <si>
    <t>A37</t>
  </si>
  <si>
    <t>No energy efficiency requirements are in place for new public buildings</t>
  </si>
  <si>
    <t>Energy Retrofitting</t>
  </si>
  <si>
    <t>Has your city adopted a comprehensive retrofit strategy for public buildings?</t>
  </si>
  <si>
    <t>A38</t>
  </si>
  <si>
    <t>Yes, the city is a Better Building Partner</t>
  </si>
  <si>
    <t>Although a policy is not place, the city has made substantial efficiency investments</t>
  </si>
  <si>
    <t>No, the city does not have a retrofit policy in place</t>
  </si>
  <si>
    <t>Does the city have sustainable infrastructure policies for capital investments, such as lifecycle cost analysis requirements, a “fix it first” policy, or development impact fees?</t>
  </si>
  <si>
    <t>At least one full-time employee is dedicated to energy management and coordination</t>
  </si>
  <si>
    <t>No full-time staff are dedicated to energy management and coordination</t>
  </si>
  <si>
    <t>Are street lights activated by light sensors and/or scheduled to turn on only for the hours needed?</t>
  </si>
  <si>
    <t>Are energy efficiency requirements or lifecycle cost considerations incorporated into your city's product procurement policy?</t>
  </si>
  <si>
    <t xml:space="preserve">Does the local government publically report their progress towards operational energy efficiency goals/efforts on an annual basis?   </t>
  </si>
  <si>
    <t>Progress on all goals is not reported, but the city does annually report on some goals</t>
  </si>
  <si>
    <t>No, the city does not publically or annually report on the progress towards goals</t>
  </si>
  <si>
    <t>Is there an outreach or community engagement component to local government goals, such as holding regular public meetings to report on local government progress?</t>
  </si>
  <si>
    <t>No targets have been set, but an agency stakeholder group is convening to discuss</t>
  </si>
  <si>
    <t>No, the city is not on track to reach its target(s)</t>
  </si>
  <si>
    <t>City has implemented programs to save energy, but cannot quantify overall savings</t>
  </si>
  <si>
    <t>Yes, dedicated funding is in place and/or energy target(s) has been incorporated</t>
  </si>
  <si>
    <t>Neither dedicated funding is in place nor has energy target(s) been incorporated</t>
  </si>
  <si>
    <t>No, city does not employ a third party for EM&amp;V of progress towards goals</t>
  </si>
  <si>
    <t xml:space="preserve">Has your city installed electric charging stations for government vehicles that are also available for use by private vehicles? </t>
  </si>
  <si>
    <t>Publically installed charging stations are only available to government vehicles</t>
  </si>
  <si>
    <t>Yes, energy efficiency requirements, such as ENERGY STAR, are in place</t>
  </si>
  <si>
    <t>Are energy efficiency requirements in place for new public buildings, such as new school buildings?</t>
  </si>
  <si>
    <t>LEED requirements, which also emphasize energy efficiency, are in place</t>
  </si>
  <si>
    <t>Yes, the city has an energy performance strategy that includes building improvements</t>
  </si>
  <si>
    <t>Yes, the city has implemented an aforementioned sustainable infrastructure policy</t>
  </si>
  <si>
    <t>No, the city has not implemented an aforementioned sustainable infrastructure policy</t>
  </si>
  <si>
    <t>Town X</t>
  </si>
  <si>
    <t>How many full-time employees does your city employ to oversee operational energy management of public buildings and coordinate efficiency efforts across city departments?</t>
  </si>
  <si>
    <t>Building Energy Savings Target</t>
  </si>
  <si>
    <t>Getting Started Through Incentives</t>
  </si>
  <si>
    <t>2011 Electric Utility Spending on Energy Efficiency ($ thousands)</t>
  </si>
  <si>
    <t xml:space="preserve">2011 Electric Sales (MWh) of Electric Utility </t>
  </si>
  <si>
    <t>Ownership Type of Primary Gas Utility</t>
  </si>
  <si>
    <t>Ownership Type of Primary Electric Utility</t>
  </si>
  <si>
    <t>Basic Information</t>
  </si>
  <si>
    <t>What is the gas utility energy efficiency spending per customer?</t>
  </si>
  <si>
    <t>What was the electric utility's energy efficiency savings as a percentage of sales?</t>
  </si>
  <si>
    <t>Values Calculated</t>
  </si>
  <si>
    <t>Complete Streets</t>
  </si>
  <si>
    <t xml:space="preserve">Getting Started </t>
  </si>
  <si>
    <t>B16</t>
  </si>
  <si>
    <t>NCSC Score greater than 75</t>
  </si>
  <si>
    <t>NCSC Score greater than 50 and less than 75</t>
  </si>
  <si>
    <t>NCSC Score greater than 25 and less than 50</t>
  </si>
  <si>
    <t>NCSC Score less than 25</t>
  </si>
  <si>
    <t>Smart Growth America</t>
  </si>
  <si>
    <t>No complete streets policy in place</t>
  </si>
  <si>
    <t>Car and Bike Sharing</t>
  </si>
  <si>
    <t>B17</t>
  </si>
  <si>
    <t>Car Sharing</t>
  </si>
  <si>
    <t>Carsharing.net</t>
  </si>
  <si>
    <t>B18</t>
  </si>
  <si>
    <t>Bike Sharing</t>
  </si>
  <si>
    <t>Total 2010 City Spending on Highways and Roads ($ thousands)</t>
  </si>
  <si>
    <t>Total Funding from All Available Sources for Transit System in the Region in 2011 or Most Recent Year</t>
  </si>
  <si>
    <t>What is the ratio of regional transit funding per capita compared to city funding of highways and parking per capita?</t>
  </si>
  <si>
    <t>Transportation Funding</t>
  </si>
  <si>
    <t>B19</t>
  </si>
  <si>
    <t>Transit Funding</t>
  </si>
  <si>
    <t>Transit to Funding Ratio is greater than 3:1</t>
  </si>
  <si>
    <t>Transit to Funding Ratio is 2 to 2.99:1</t>
  </si>
  <si>
    <t>Transit to Funding Ratio is 1 to 1.99:1</t>
  </si>
  <si>
    <t>Transit to Funding Ratio is 0.5 to 0.99:1</t>
  </si>
  <si>
    <t>Transit to Funding Ratio is less than 0.5 but greater than 0</t>
  </si>
  <si>
    <t>Transportation Partnerships</t>
  </si>
  <si>
    <t>B20</t>
  </si>
  <si>
    <t>Yes, at least one city staff member actively engages with the Clean Cities Coalition</t>
  </si>
  <si>
    <t>No, city staff does not actively engage with the Clean Cities Coalition</t>
  </si>
  <si>
    <t>A Clean Cities Coalition does not exist in our region or state</t>
  </si>
  <si>
    <t>Location Efficiency Information Policies</t>
  </si>
  <si>
    <t>B27</t>
  </si>
  <si>
    <t>Location Efficiency Policies</t>
  </si>
  <si>
    <t>Yes, location efficiency policies are in place</t>
  </si>
  <si>
    <t>No, location efficiency policies are not in place</t>
  </si>
  <si>
    <t>Parking Requirements</t>
  </si>
  <si>
    <t>B28</t>
  </si>
  <si>
    <t>Parking minimums have been removed in more than one neighborhood</t>
  </si>
  <si>
    <t>The parking requirement is an average of 0.5 parking spaces or fewer per residential unit</t>
  </si>
  <si>
    <r>
      <t xml:space="preserve">Seattle’s Sustainable Building Policy was originally adopted in 2000 and significantly expanded in scope in October 2011.  This policy calls for new City-funded projects and major renovations with over 5,000 square feet of occupied space to achieve a LEED Gold Rating. In addition, these projects must meet additional energy efficiency, water, waste, and bicycle parking requirements. Minor renovation and tenant improvement projects that impact 5,000 square feet or more and involve changes to mechanical, electrical, and plumbing systems must also meet LEED Gold standards, as well as additional requirements for water and waste.  Projects that are under 5,000 square feet or not eligible for LEED must complete the Capital Green checklist. As of May 2012, there are 23 LEED-certified, City-owned buildings, with 6 projects underway and 5 planned projects. 
</t>
    </r>
    <r>
      <rPr>
        <b/>
        <sz val="9"/>
        <color indexed="8"/>
        <rFont val="Calibri"/>
        <family val="2"/>
      </rPr>
      <t xml:space="preserve">
Relevant State Policy:</t>
    </r>
    <r>
      <rPr>
        <sz val="9"/>
        <color indexed="8"/>
        <rFont val="Calibri"/>
        <family val="2"/>
      </rPr>
      <t xml:space="preserve"> WA Statute RCW 39.35D.030 (January 2005) requires that all major facility projects of public agencies receiving any funding in a state capital budget must be designed, constructed, and certified to at least the LEED Silver standard and must include building commissioning as a component of the design process.</t>
    </r>
  </si>
  <si>
    <t>DSIRE Rules, Regulation, and Policies Database</t>
  </si>
  <si>
    <r>
      <t xml:space="preserve">The City Council of Austin passed a resolution (City Council Resolution No. 000608-43) in June 2000 requiring that all future building projects be built in accordance with the standard of the Leadership in Energy and Environmental Design (LEED) Green Building Rating System, Silver Level. </t>
    </r>
    <r>
      <rPr>
        <b/>
        <sz val="9"/>
        <color indexed="8"/>
        <rFont val="Calibri"/>
        <family val="2"/>
      </rPr>
      <t>The resolution further required the City Manager to evaluate the feasibility of requiring buildings maintained, leased or financed by the City to be operated and maintained in a way to improve indoor air quality and energy conservation</t>
    </r>
    <r>
      <rPr>
        <sz val="9"/>
        <color indexed="8"/>
        <rFont val="Calibri"/>
        <family val="2"/>
      </rPr>
      <t>. In November 2007 this policy was updated with the adoption of City Council Resolution No. 20071129-045 which replaced and superseded the original policy. The revised policy sets two criteria for triggering the LEED Silver requirement for new construction and major renovations:
The project includes work in the five major LEED categories: sustainable sites, water efficiency, energy and atmosphere, materials and resources, and indoor environmental quality.
The project has construction costs of $2 million or more</t>
    </r>
  </si>
  <si>
    <t>DSIRE</t>
  </si>
  <si>
    <t>The Green Building Act of 2006 requires that new city building designs earn an ENERGY STAR target finder score of at least 75 and that new city buildings be ENERGY STAR benchmarked annually.
Over the next five years, the District will begin retrofitting 
all public buildings, including schools, libraries, and other municipal facilities, so that these buildings meet at least a LEED Gold standard for existing buildings.</t>
  </si>
  <si>
    <t>RESOLUTION 2006R-381 calls for the City to utilize the LEED standards in the planning, design, construction, and commissioning of municipal facilities financed by the City of Minneapolis and utilized by the City’s Charter Departments. All new or significantly renovated municipal facilities (financed by the City of Minneapolis and utilized by the City’s Charter Departments) of 5,000 square feet or greater, should be built to a LEED Silver level of quality with emphasis in LEED points related to "“Energy and Atmosphere."</t>
  </si>
  <si>
    <t>http://www.minneapolismn.gov/www/groups/public/@citycoordinator/documents/webcontent/convert_282738.pdf</t>
  </si>
  <si>
    <t xml:space="preserve">The City requires LEED certification for all new municipal buildings as a policy </t>
  </si>
  <si>
    <t>http://www.cityofchicago.org/content/dam/city/depts/zlup/Sustainable_Development/Publications/GreenMatrix2011DHED.pdf</t>
  </si>
  <si>
    <t>On December 10, 2009 City Council passed Bill No. 080025 which calls for new construction and major renovation of large City government buildings to be designed, constructed, and certified at the silver level of the LEED rating system. To emphasize energy efficiency, the ordinance requires that projects be designed and constructed to use at least 20% less energy than basic, code-compliant structures</t>
  </si>
  <si>
    <t>Executive Order 123 - Chapter 2 - requires all new city projects and major remodels to be built and certified to USGBC’s Leadership in Energy and Environmental Design (LEED) BD+C Gold Certification, with a goal of achieving LEED Platinum, and meet ENERGY STAR guidelines  
All existing and future City-owned and operated facilities will incorporate all applicable LEED-EB O&amp;M best practices into facility operation and maintenance.  All capital improvement projects will be designed and constructed using LEED best practices.</t>
  </si>
  <si>
    <t xml:space="preserve">HCD - Baltimore Green Building Standards. </t>
  </si>
  <si>
    <t>The City has a Green Building Resolution, which sets a target of LEED-Silver certification for new construction, replacement facilities and major renovations of city of Houston-owned buildings and facilities with more than 10,000 square feet of occupied space.  The City of Houston has 20 LEED Certified projects with 8 projects under review or in the pipeline.  In our municipal energy efficiency program, over 100 City facilities, 6 million square feet, are achieving guaranteed energy use reductions of 30% with paybacks of, on average, less than ten years.  The City will be using qualified energy conservation bonds (QECBs) to fund the next portion of energy efficiency retrofits for the public libraries.  Also, all City buildings are being benchmarked in EPA’s Portfolio Manager, over 300 buildings, in hopes to have as many of them achieve an Energy Star rating.
In recent years, HISD has committed to building all of its new facilities to LEED standards. The district has made the same commitment for all new schools that will be built under the 2012 bond program.</t>
  </si>
  <si>
    <t>http://www.greenhoustontx.gov/pdf/ordinance-greenbuilding.pdf</t>
  </si>
  <si>
    <t>In 2003 the Dallas City Council passed a resolution requiring that all new municipal buildings larger than 10,000 square feet be constructed to meet LEED Silver Certification standards. In 2006 the green building program policy was updated, increasing the requirement for new city-funded public works and transportation facilities under the 2006 bond program to LEED Gold Certification. The update also added additional requirements for water use reduction (20%) and optimizing energy performance (3 points, 1 point above mandatory certification minimum) for these facilities. As of the summer of 2010 the city had completed almost 24 green facilities under the program, with an additional 26 in various stages of construction. Renovations and rehabilitation projects are also directed to use LEED principles to the greatest extent that they are reasonable and practical. </t>
  </si>
  <si>
    <t>The city Building Standards were revised in 2006 to include additional energy related standards for city projects. The revisions supplement the LEED standards for green buildings which, by design, use less water and energy, generate less waste products, provide a more comfortable environment for their occupants, and contribute to a more sustainable environment. Due to Phoenix's climatic conditions, the city has established minimum standards more stringent than the LEED minimum standards, requiring:
 Landscape and exterior designs that reduce urban heat islands.
Diversion of a minimum of 50 percent of construction waste from landfill disposal.
When compared to the Energy Policy Act of 1992, buildings should use:
 50 percent less water in landscaping
20 percent less water in interiors
30 percent less overall energy</t>
  </si>
  <si>
    <t>http://phoenix.gov/greenphoenix/sustainability/summary/green.html</t>
  </si>
  <si>
    <t>In December 2003, the City of Atlanta passed a green building ordinance that applies to city-owned facilities and city-funded projects. This green building ordinance applies to all new construction and renovation projects in which the building has 5,000 square feet of occupied space or the total project cost exceeds $2 million. These projects must incorporate sustainable design principles and must meet LEED Silver rating.</t>
  </si>
  <si>
    <t>http://www.dsireusa.org/incentives/index.cfm?re=0&amp;ee=0&amp;spv=0&amp;st=0&amp;srp=1&amp;state=GA</t>
  </si>
  <si>
    <t>In April 2007, the San Antonio City Council adopted a resolution to require that all new buildings that are funded and used by the city must meet green building guidelines. The guidelines should be based on the United States Green Building Council Leadership in Energy and Environmental Design (LEED) Silver level, though the resolution allows for the requirement to be customized by the City of San Antonio</t>
  </si>
  <si>
    <t xml:space="preserve">In 2004, the City Council adopted a “Green Building” construction policy related to City facilities:  The City will design and operate facilities to achieve the highest level Leadership in Energy and Environmental Design (LEED) rating and energy efficiency for that type of building. In analyzing the LEED and  possible energy efficiency levels, life cycle costing will be utilized to determine the best selection of features and components. For appropriate buildings, 5,000 square feet and larger, a min. level of LEED Silver shall be the goal.
</t>
  </si>
  <si>
    <t>Every new City-owned construction project is LEED certified by the U .S . Green Building Council. Not only city owned, but also any building that has city dollars invested is to be built LEED certified. For example, we paid for a portion of the SWACO Waste Transfer Station and since our money was involved LEED Certification had to be sought. That facility is targeting LEED-Gold.</t>
  </si>
  <si>
    <t>http://columbus.gov/GetGreen/content.aspx?id=41124</t>
  </si>
  <si>
    <t>The City of San Diego’s Sustainable Building Policy is directed by Council Policy 900-14. Among the directives is a commitment that all new City facilities and major building renovation projects (over 5,000 sq. ft.) achieve LEED "Silver" Level Certification and be constructed to be 15% more energy efficient than California's building code. In addition to achieving LEED Certification, Council Policy 900-14 states that newly constructed City facilities shall incorporate a minimum of 15% self-generation using renewable technologies when site factors allow for a reasonable payback. The policy also establishes requirements regarding water usage, indoor air quality, and the materials used in construction.</t>
  </si>
  <si>
    <t xml:space="preserve">DSIRE Rules, Regulation, and Policies Database. </t>
  </si>
  <si>
    <t>policy for all new municipal facilities in excess of 5,000 square feet to be built to LEED standards.</t>
  </si>
  <si>
    <t>http://www.coolcalifornia.org/case-study/riverside-an-emerald-city</t>
  </si>
  <si>
    <t xml:space="preserve">The revised Green Building Policy (Council Policy 8-13) was approved March 6, 2007 and requires all City of San José municipal projects and projects receiving City funds design, construct and achieve at minimum LEED Silver certification. This applies to all projects constructing new buildings or adding more than 10,000 square feet of occupied space. </t>
  </si>
  <si>
    <t>In June 10, 2008, the El Paso City Council unanimously passed an ordinance  stating that “all new City buildings over 5,000 square feet in size, will be designed, contracted and built to achieve the LEED Silver Certification level, and to strive for a higher level of certification whenever project resources and conditions permit.” The resolution also stated that “all future renovations and non occupied City buildings will be designed, contracted and built to include as many principles of the LEED program as are feasible.” There are no location efficiency requirements or transit/bik/ped access requirements as of now, but with our Plan El Paso and Sustainablity Goals, this is a priority for the future.</t>
  </si>
  <si>
    <t>http://www.elpasotexas.gov/sustainability/projects_leedbuildings.asp</t>
  </si>
  <si>
    <t>Municipal LEED Standards Ordinance 67414 (2007) - requires all new municipal construction over 5,000 square feet to be built to LEED Silver standards
Municipal Energy Efficiency Ordinance 67803 (2007) - requires builders to analyze energy consumption, long-term operating costs and possible energy efficient measures for all new municipal construction or major remodels of municipal buildings.</t>
  </si>
  <si>
    <t>Requirement that all publicly-financed development over $2 million or 10,000 square feet attain a minimum of LEED Silver rating. a density bonus for LEED certified buildings allowing them to rise 20% higher and include 20% more floor area than other buildings in their zoning districts.</t>
  </si>
  <si>
    <t>Action Plan calls for a policy requiring new City buildings to be LEED Silver or better certified when the certification cost does not exceed 5% of the construction cost. Obtain LEED EB Silver certification or better on major renovations when the cost of certification does not exceed 5% of the construction cost.</t>
  </si>
  <si>
    <t>Buildings over 50,000 ft2 are required to achieve LEED Silver as per Miami 21 Section 3.13.1</t>
  </si>
  <si>
    <t>http://www.miami21.org/PDFs/FinalDocumentsMay2010/Article3-GeneraltoZones-AsAdopted-May2010.pdf</t>
  </si>
  <si>
    <t>2009 green building ordinance requires retrofitting of all public buildings &gt;7500  sqft or built prior to 1978  to acheive LEED Silver status.</t>
  </si>
  <si>
    <t>http://clkrep.lacity.org/onlinedocs/2006/06-1963_ord_180633.pdf</t>
  </si>
  <si>
    <t>Ordinance 17.5-203 requires all new construction of municipal buildings &gt;5000 feet to be built to LEED silver standards. Renovations of existing municipal buildings must incorporate building materials recognized by USGBC for their sustainable qualities and with recycled products whenever possible.</t>
  </si>
  <si>
    <t>http://www.tampagov.net/dept_green_tampa/files/2011_Information_Resources/Codes_and_Ordinances/Chapter_17.5_Ordinance_Section_17.5-201.205.pdf</t>
  </si>
  <si>
    <t>City requires that new facilities be built to reduce energy use and carbon footprint, in accordance with state law</t>
  </si>
  <si>
    <t>http://charmeck.org/city/charlotte/cats/planning/facilities</t>
  </si>
  <si>
    <t>Executive Order 2008-3: All applicable new city buildings and major renovations will be built and certified to the appropriate LEED standards and achieve Energy Star status. Existing buildings shall incorporate all appropriate LEED-EB principles into facility operation and maintenance</t>
  </si>
  <si>
    <t xml:space="preserve">         Comprehensive retrofit strategy</t>
  </si>
  <si>
    <t>The 2004 Integrated Energy Management Plan laid out a retrofit plan for Boston’s Top Ten municipal energy users. Boston has already secured a $6.2 million commitment from NStar to support retrofits of City Hall, the Copley Library, and several smaller library buildings through 2012</t>
  </si>
  <si>
    <t>Energy Management Staff, Public Lighting, Green Procurement Policy, Sustainable Maintenance Policies, and Public Workforce</t>
  </si>
  <si>
    <t>Incentives and Financing for Efficient Buildings, Comprehensive Efficiency Assessments, Green Building Requirements, and Energy Retrofit Requirements</t>
  </si>
  <si>
    <t>Building Energy Savings Target, Residential Energy Code Advocacy, Commercial Energy Code Advocacy, and Alternate Code Compliance Strategies</t>
  </si>
  <si>
    <t>Boston, MA</t>
  </si>
  <si>
    <t>Portland, OR</t>
  </si>
  <si>
    <t>San Francisco, CA</t>
  </si>
  <si>
    <t>New York City, NY</t>
  </si>
  <si>
    <t>Seattle, WA</t>
  </si>
  <si>
    <t>Austin, TX</t>
  </si>
  <si>
    <t>Washington, DC</t>
  </si>
  <si>
    <t>Minneapolis, MN</t>
  </si>
  <si>
    <t>Chicago, IL</t>
  </si>
  <si>
    <t>Philadelphia, PA</t>
  </si>
  <si>
    <t>Denver, CO</t>
  </si>
  <si>
    <t>Baltimore, MD</t>
  </si>
  <si>
    <t>Houston, TX</t>
  </si>
  <si>
    <t>Dallas, TX</t>
  </si>
  <si>
    <t>Phoenix, AZ</t>
  </si>
  <si>
    <t>Atlanta, GA</t>
  </si>
  <si>
    <t>Sacramento, CA</t>
  </si>
  <si>
    <t>Columbus, OH</t>
  </si>
  <si>
    <t>San Diego, CA</t>
  </si>
  <si>
    <t>Riverside, CA</t>
  </si>
  <si>
    <t>San Jose, CA</t>
  </si>
  <si>
    <t>El Paso, TX</t>
  </si>
  <si>
    <t>St. Louis, MO</t>
  </si>
  <si>
    <t>Pittsburgh, PA</t>
  </si>
  <si>
    <t>Fort Worth, TX</t>
  </si>
  <si>
    <t>Miami, FL</t>
  </si>
  <si>
    <t>Los Angeles, CA</t>
  </si>
  <si>
    <t>Indianapolis, IN</t>
  </si>
  <si>
    <t>Tampa, FL</t>
  </si>
  <si>
    <t>Charlotte, NC</t>
  </si>
  <si>
    <t>Memphis, TN</t>
  </si>
  <si>
    <t>Detroit, MI</t>
  </si>
  <si>
    <t>Jacksonville, FL</t>
  </si>
  <si>
    <t>Policy Area &amp; Subcategories</t>
  </si>
  <si>
    <t>Maximum Score</t>
  </si>
  <si>
    <t>Score Earned</t>
  </si>
  <si>
    <t>Policies in Place</t>
  </si>
  <si>
    <t>Ref</t>
  </si>
  <si>
    <t>Policy Step 1: Initial Energy Management Policies for Government Operations</t>
  </si>
  <si>
    <t>Dedicated staff</t>
  </si>
  <si>
    <r>
      <t xml:space="preserve">Since 2011, City Government has had </t>
    </r>
    <r>
      <rPr>
        <b/>
        <sz val="9"/>
        <color indexed="8"/>
        <rFont val="Calibri"/>
        <family val="2"/>
      </rPr>
      <t xml:space="preserve">two FTE </t>
    </r>
    <r>
      <rPr>
        <sz val="9"/>
        <color indexed="8"/>
        <rFont val="Calibri"/>
        <family val="2"/>
      </rPr>
      <t xml:space="preserve">in the Environment Department that work with all departments and the budget office to implement energy efficiency projects including energy management systems at the Libriaries, lighting projects at City Hall and the Parks Department, and solar projects to name a few.  </t>
    </r>
    <r>
      <rPr>
        <b/>
        <sz val="9"/>
        <color indexed="8"/>
        <rFont val="Calibri"/>
        <family val="2"/>
      </rPr>
      <t>These position were initially funded by the federal Energy Efficiency and Conservation Block Grant, but since July 2012 are full-time budgeted city employees.</t>
    </r>
  </si>
  <si>
    <t>Data Request</t>
  </si>
  <si>
    <t>Portland has one full-time position dedicated to implementing energy efficiency and renewable energy goals.  A 1.0 FTE Senior Energy Manager leads the City Energy Challenge program, working with individual city bureaus to implement energy reduction projects, track results and implement the city's renewable resource goals.  An additional 0.5 FTE Sustainable City Government Partnership Program Coordinator provides leadership and technical assistance to 25 city bureaus, each with its own Sustainability Plan.</t>
  </si>
  <si>
    <t>Michael Armstrong</t>
  </si>
  <si>
    <t>SF Environment, Climate Liaisons with 50+ departments. There are approximately 5 FTE focused on municipal facilities, and they leverage the time of staff across many agencies.</t>
  </si>
  <si>
    <t>http://www.sfenvironment.org/climate-change/city-government-climate-action</t>
  </si>
  <si>
    <t xml:space="preserve">Department of City Administrative Services Energy Management tracks energy for all buildings. </t>
  </si>
  <si>
    <t>http://www.nyc.gov/html/dcas/html/employees/energy.shtml</t>
  </si>
  <si>
    <t xml:space="preserve">Office of Sustainability and Environment.  Two FTE Resource Conservation Managers (1 Citywide Resource Conservation Advisor, and 2 part-time departmental City RCMs).  </t>
  </si>
  <si>
    <t>Michelle Caufield</t>
  </si>
  <si>
    <t>The Climate Program is a function of the office of sustainability.  The Office of Sustainability has 9 dedicated FTEs, which include the Chief Sustainabiltiy Officer and the Climate Program Manager</t>
  </si>
  <si>
    <t>Zach Baumer</t>
  </si>
  <si>
    <t xml:space="preserve">Yes, the city has dedicated staff for energy management and implementation of energy efficiency goals. </t>
  </si>
  <si>
    <t>Taresa Lawrence</t>
  </si>
  <si>
    <t>Our Energy Manager is also full time on energy efficiency in city facilities.  Total FTEs for EE are probably 2.0</t>
  </si>
  <si>
    <t>Brendon Slotterback</t>
  </si>
  <si>
    <t>Yes, the City has dedicated staff for energy management for City-owned facilities, as well as Chicago Public Schools, Chicago Park District, Chicago Transit Authority, City Colleges of Chicago, and Public Building Commission (non-profit developer of City real estate projects)</t>
  </si>
  <si>
    <t>Aaron Joseph</t>
  </si>
  <si>
    <t>1 full-time energy conservation coordinator</t>
  </si>
  <si>
    <t>Alex Dews</t>
  </si>
  <si>
    <t>4 FTE</t>
  </si>
  <si>
    <t>Cindy Bosco</t>
  </si>
  <si>
    <t>Baltimore City Energy Office has a Director, 5 fulltime staff (FTEs), 3 fulltime contractuals and 2 interns in addition to on-call consultants</t>
  </si>
  <si>
    <t>Alice Kennedy</t>
  </si>
  <si>
    <t>In addition to the Sustainability Director and a Sustainability Manager in the Mayor's Office, the General Services Department has an Energy Section of the Financial and Energy Management Division that houses four employees.  This division includes an energy manager, someone who is  responsible for paying the electric bills citywide, someone who is responsible for paying the natural gas bills citywide, and a Utility/Database Manager who is responsible for all the electric meter operations citywide and for generating and transmitting the monthly and yearly electrical billing reports for more than 5,000 electrical accounts. This individual is also the State Energy Conservation Office (SECO) Communication Liaison.  The City also has a C40 City Director who assists in energy efficiency goals.</t>
  </si>
  <si>
    <t>Lisa Lin</t>
  </si>
  <si>
    <t>There are currently 22 positions in the Office of Environmental Quality.</t>
  </si>
  <si>
    <t>Kevin LeFebvre</t>
  </si>
  <si>
    <t>10 City Staff</t>
  </si>
  <si>
    <t>Laura Burton</t>
  </si>
  <si>
    <t>The Mayor's Office of Sustainability is supported by the City's general fund and focused on instituting environmental protection practices into Atlanta city government and creating opportunities across ten impact areas for the entire jurisdiction.</t>
  </si>
  <si>
    <t>http://www.atlantaga.gov/index.aspx?page=154</t>
  </si>
  <si>
    <t>Office of Sustainability has 7 FTEs</t>
  </si>
  <si>
    <t>Liza Meyer</t>
  </si>
  <si>
    <t>CAP project team</t>
  </si>
  <si>
    <t>http://www.sacgp.org/climate_action_plan.html#Developing</t>
  </si>
  <si>
    <t>The Mayor has an Office of Environmental Stewardship where there are three FTE housed. While, one person is not soley dedicated to energy efficiency, all three work on energy efficiency education and goal implementation. In addition, there are 22 assigned staff (GreenCoordinators) that work on implementation of the Get Green Columbus initiative within their Deparments and Divisions.</t>
  </si>
  <si>
    <t>Yes -  Energy Conservation &amp; Management Division of Environmental Services Dep.  Approximately 10 FTE.</t>
  </si>
  <si>
    <t>Linda Pratt</t>
  </si>
  <si>
    <t xml:space="preserve">The city has a full team of individuals dedicated to energy management for not only the city's facility staff but also for all of our residential, commercial and industrial customers. </t>
  </si>
  <si>
    <t>Yes, there are dedicated project leads on the steering committee for Green Vision.</t>
  </si>
  <si>
    <t>http://www.sanjoseca.gov/Index.aspx?NID=1417</t>
  </si>
  <si>
    <t>The City of El Paso Sustainability Office was established in 2007 to develop, coordinate, and support city-wide sustainability goals and initiatives. Energy Manager's priority is to drive down energy use. There are three full-time staff members dedicated to energy-efficiency goals. Other members of Environmental Services and Engineering support these three Sustainability Office employees</t>
  </si>
  <si>
    <t>Lauren Baldwin</t>
  </si>
  <si>
    <t>Sustainability Director in Mayor’s Office and Facilities Commissioner in Board of Public Service. City Green Team being developed. Similar positions specific to Airport operations.</t>
  </si>
  <si>
    <t>Catherine Werner</t>
  </si>
  <si>
    <t>Sustainability Coordinator within the Office of Sustainability and Energy Efficiency. Energy and Utilities Manager.</t>
  </si>
  <si>
    <t>http://www.pittsburghpa.gov/green/about.htm</t>
  </si>
  <si>
    <t>Facilities Management Group</t>
  </si>
  <si>
    <t>http://fortworthtexas.gov/sustainability/</t>
  </si>
  <si>
    <t>Office of Sustainable Initiatives; 2 FTEs</t>
  </si>
  <si>
    <t>http://www.miamigov.com/msi</t>
  </si>
  <si>
    <t>Environmental Affairs Department</t>
  </si>
  <si>
    <t>http://www.environmentla.org/ead_sustainability.htm</t>
  </si>
  <si>
    <t xml:space="preserve">The City has 7 full-time staff dedicated to the implementation of all sustainability goals. While all staff contribute to the pursuit of greater energy efficiency, one full-time staff member is specifically dedicated to the implementation of energy efficiency and conservation projects and policies. </t>
  </si>
  <si>
    <t>http://www.indy.gov/eGov/City/DPW/SustainIndy/Sustain/Pages/OfficeofSustainabilityHome.aspx</t>
  </si>
  <si>
    <t>Thomas Snelling</t>
  </si>
  <si>
    <t>http://www.tampagov.net/dept_green_tampa/index.asp</t>
  </si>
  <si>
    <t>The City has a full time Energy &amp; Sustainability Manager who sits in the City Manager's Office.  Engineer &amp; Property Management employs two individuals who are dedicated to energy management and implementation.  THe Airport and Utilities department each have one person.  That totals 5.</t>
  </si>
  <si>
    <t>Pers. Comm</t>
  </si>
  <si>
    <t>The Office of Sustainability works on these initiatives and currently has 3 full time staff members. (One staff member is dedicated to a HUD Regional Planning Grant full time until January 2015.</t>
  </si>
  <si>
    <t>Paul Young</t>
  </si>
  <si>
    <t>----</t>
  </si>
  <si>
    <t>Office of Sustainability Initiatives</t>
  </si>
  <si>
    <t>http://www.coj.net/departments/environmental-and-compliance/office-of-sustainability-initiatives.aspx</t>
  </si>
  <si>
    <t>http://www.cityofboston.gov/Images_Documents/A%20Climate%20of%20Progress%20-%20CAP%20Update%202011_tcm3-25020.pdf</t>
  </si>
  <si>
    <t>http://sustainable.dc.gov/sites/default/files/dc/sites/sustainable/page_content/attachments/SDC%20Final%20Plan_0.pdf</t>
  </si>
  <si>
    <t>http://www.phila.gov/green/PDFs/GW2012Report.pdf</t>
  </si>
  <si>
    <t>http://www.greenprintdenver.org</t>
  </si>
  <si>
    <t>http://www.greenhoustontx.gov/energy.html</t>
  </si>
  <si>
    <t>http://www.sacgp.org/documents/Phase-1-CAP_2-11-10.pdf</t>
  </si>
  <si>
    <t>Pers. Comm.</t>
  </si>
  <si>
    <t>Green Vision 2012 Annual Report
Envision San Jose 2040</t>
  </si>
  <si>
    <t>City of St. Louis Sustainability Plan</t>
  </si>
  <si>
    <t>Sam Gunderson</t>
  </si>
  <si>
    <t>Kristen Trovillion</t>
  </si>
  <si>
    <t>Annual Sustainability Report</t>
  </si>
  <si>
    <t>Yes</t>
  </si>
  <si>
    <t>Energy-efficient procurement policy</t>
  </si>
  <si>
    <t>As a result of Mayor Menino’s 2008 executive order on greening municipal operations, the Purchasing Office and the Department of Innovation and Technology issued Environmentally Preferable Procurement Guidelines and a Green Information Technology Roadmap. Both policies include energy efficiency and recycling as important components.</t>
  </si>
  <si>
    <t>Portland's Sustainable Procurement Policy: Section G, Purchasing Energy Efficient Products.
As available, the City shall procure products that meet or exceed Energy Star® criteria for energy efficiency.</t>
  </si>
  <si>
    <t>http://www.portlandonline.com/auditor/?c=37766&amp;a=282597</t>
  </si>
  <si>
    <t>Green Purchasing Policy updated every 3 years. Includes energy efficiency considerations.</t>
  </si>
  <si>
    <t>http://www.sfenvironment.org/sites/default/files/fliers/files/sfe_th_green_purchasing_priorities_summary.pdf</t>
  </si>
  <si>
    <t>Local Law 119 of 2005  promotes the procurement and use of energy efficient products. The law requires the City to follow Federal Energy Management Program (FEMP)  standards of energy efficiency in the use and acquisition of energy-using products including those with an ENERGY STAR  label.</t>
  </si>
  <si>
    <t>http://www.nyc.gov/html/nycwasteless/html/laws/local_energyefficientprocurement.shtml</t>
  </si>
  <si>
    <t>Green Purchasing Policy mandates at least EPA product standards, including Energy Star.</t>
  </si>
  <si>
    <t>http://www.seattle.gov/purchasing/GrnPurchOverview.htm</t>
  </si>
  <si>
    <t>DC's Procurement Practices Act was amended by the ENERGY STAR Efficiency Amendment Act of 2004, which directs agencies to include a specification that energy using products be ENERGY STAR labeled provided that there are at least 3 manufacturers that produce products with the ENERGY STAR label, and that there are at least 3 responsible vendors offering ENERGY STAR-labeled products.</t>
  </si>
  <si>
    <t>ACEEE State Database</t>
  </si>
  <si>
    <t>Environmentally Preferable Purchasing Policy calls for procurement of EnergyStar appliances where available.</t>
  </si>
  <si>
    <t>http://www.minneapolismn.gov/www/groups/public/@citycoordinator/documents/webcontent/convert_261511.pdf</t>
  </si>
  <si>
    <t>The City requires LEED certification for all new municipal buildings as a policy and Energy Star and WaterSense labeled fixtures are required under these standards</t>
  </si>
  <si>
    <t>The City’s Procurement Department purchases recycled paper products, ENERGY STAR–rated equipment andappliances, and low VOC paints and carpets. Going forward, Procurement will work with the Mayor’s Office of Sustainability to develop energy and environmental standards for procured products</t>
  </si>
  <si>
    <t>http://www.phila.gov/green/greenworks/pdf/Greenworks_OnlinePDF_FINAL.pdf</t>
  </si>
  <si>
    <t>The City has an environmentally-preferable procurement policy. It does not mention ENERGY STAR by name but it does require assessing Total Cost of Ownership and also "[s]eeking products where claimed environmental performance has been certified or rated by an independent, reliable third party entity."  As part of the new construction program  all appliances must be Energy Star labeled.  As part of the City's environmentally preferable purchasing program agencies are directed to procure energy efficient products and services.</t>
  </si>
  <si>
    <t>http://www.greenprintdenver.org/wp-content/uploads/2013/03/13-XO-123-Sustainability-Cabinet-Ready-Copy.pdf</t>
  </si>
  <si>
    <t>Under Administrative Procedure 7-1 City Energy Efficiency Policy, Section 7.2.7 Equipment Purchasing specifies that all equipment, appliance and computer purchases should be Energy Star rated, when possible.</t>
  </si>
  <si>
    <t>http://www.houstontx.gov/adminpolicies/7-1.pdf</t>
  </si>
  <si>
    <t xml:space="preserve">Green Procurement Policy adopted in 2004. </t>
  </si>
  <si>
    <t>http://www.greendallas.net/pdfs/FactSheet.pdf</t>
  </si>
  <si>
    <t>Local Policy: Upcoming city contracts are reviewed to include EPP requirements such as Energy Star products, recycled content, general hazardous material characteristics, safer janitorial products, and pesticides.</t>
  </si>
  <si>
    <t>http://phoenix.gov/greenphoenix/sustainability/epp/purchasing/index.html</t>
  </si>
  <si>
    <t>Yes, the City of San Antonio does have a "Green Purchasing" policy in place</t>
  </si>
  <si>
    <t xml:space="preserve">Sustainable Operations Policy (API#57) includes purchasing of EnergyStar appliances when practical and energy efficient lighting </t>
  </si>
  <si>
    <t>http://www.cityofsacramento.org/generalservices/sustainability/documents/API%2057.pdf</t>
  </si>
  <si>
    <t>Effective 11/19/2006, Chapter 329 of the Columbus City Code was amended to encourage the implementation of policies and procedures designed to promote the procurement of materials, supplies, equipment, construction and services from environmentally preferable bidders or offerors. The city's green procurement policy includes energy efficient equipment.
Ohio Executive Order 2007-02S required the design and implementation of a plan to improve the state's ability to identify and purchase the most appropriate energy efficient products.</t>
  </si>
  <si>
    <t>City has the EP3 program in place as part of AR 35.80</t>
  </si>
  <si>
    <t>http://www.sandiego.gov/environmental-services/recycling/ep3/howto/responsibilities.shtml</t>
  </si>
  <si>
    <t>Energy Efficiency included in Environmentally Preferable Purchasing Policy</t>
  </si>
  <si>
    <t>http://www.clerkoftheboard.co.riverside.ca.us/agendas/2009/02_03_09/03.25.pdf</t>
  </si>
  <si>
    <t>EP3 Policy includes energy efficiency considerations</t>
  </si>
  <si>
    <t>http://www.sanjoseca.gov/DocumentCenter/View/3862</t>
  </si>
  <si>
    <t>City uses Environmentally Preferable Purchasing guidelines, which include energy efficiency stipulations.</t>
  </si>
  <si>
    <t>http://pittsburghclimate.org/wp-content/uploads/2012/03/Sustainability-Best-Practices-Green-Building-Legislation-City-of-Pittsburgh-2011.pdf</t>
  </si>
  <si>
    <t>In 2008, the City passed a Green Purchasing Ordinance for all city departments that requires products to meet Energy Star guidelines.</t>
  </si>
  <si>
    <t>http://www.miamigov.com/msi/pages/Energy/In%20Miami/Default.asp</t>
  </si>
  <si>
    <t>City uses Environmentally Preferable Purchasing, which includes energy efficiency consideration</t>
  </si>
  <si>
    <t>http://www.environmentla.org/cgbp/epp.html</t>
  </si>
  <si>
    <t>Purchasing guide for Environmentally Preferable Products includes EnergyStar guidelines.</t>
  </si>
  <si>
    <t>http://charmeck.org/mecklenburg/county/LUESA/sustainability/Documents/EPPG2010.pdf</t>
  </si>
  <si>
    <t>Procurement plan calls for revision of current City and County purchasing policies to consider the total cost over the life of the goods, services, and equipment. This is now implicit in the purchasing procedures of City and County government, so yes, this is being implemented.</t>
  </si>
  <si>
    <t xml:space="preserve">In general terms we cannot use capital resources to maintain any infrastructure; however, when an end of life issue (like a failing compressor, or HVAC system or whatever) then we can generally capitalize the replacement (including its design).    Otherwise this is an interesting question but for which we honestly cannot define. Generally we think of an asset as needing replacement when its maintenance cost exceeds the value of the asset. To give is a better handle on this we are in the process of implementing a new Facilities Management Work Order System that will enable us to not only improve our performance metrics with customer work order requests, but also better track specific asset costs. We are also working on another system to conduct a comprehensive facility condition index (FCI) where major asset components are evaluated so as to better plan for capital replacement.                  
We have an Asset Management Team that looks at life cycle costs. </t>
  </si>
  <si>
    <t>The City’s primary tool to implement sustainable infrastructure improvements is the Energy Savings Performance Contracting (ESPC) model mainly because of its neutral effect on the city's annual budget. As part of ESPC development, a Cost/Benefit analysis is performed that accounts for all project costs, both positive and negative.  Typically, net benefits to energy, water, &amp; maintenance budgets are accounted for against principle, interest, &amp; service costs.  Other necessary building system improvements may involve an analysis based on incremental- or "burn-out"-basis cost/benefit analysis.  Individual measures implemented under the city's energy consrvation program must also pay for themselves within their "Useful Life".</t>
  </si>
  <si>
    <t>Policy Step 1: Getting Started on Community-Wide Energy Efficiency</t>
  </si>
  <si>
    <t>Yes an estimate of 30 FTE in the Office of Environmental and Energy Services, Boston Bikes, Complete Streets (Transportation), Boston Redevelopment Authority, Neighborhood Development, etc</t>
  </si>
  <si>
    <t>currently there are 7.5 FTE dedicated to climate, buildings and energy work.</t>
  </si>
  <si>
    <t>SF Department of Environment, 4 FTEs dedicated to climate goals. In addition, climate liaisons are in each of the City's 50+ departments. Most of SF Environment's other 120 staff contribute toward meeting communitywide energy efficiency, renewables, Zero Waste.</t>
  </si>
  <si>
    <t>http://www.sfenvironment.org/sites/default/files/fliers/files/sfe_ou_annualreport_2012sm.pdf</t>
  </si>
  <si>
    <t>Several lead agencies, coordinated by the Office of Long-Term Planning and Sustainability (OLTPS)</t>
  </si>
  <si>
    <t>http://www.nyc.gov/html/planyc2030/html/about/who-we-are.shtml</t>
  </si>
  <si>
    <t xml:space="preserve">The number of staff depends on where the line is drawn.  Four FTEs on the Climate Action Team.  18 FTEs in the Office of Sustainability &amp; Environment, all of whom have some role in implementing the plan.  But literally hundreds of employees in the Planning department, Transportation department, Seattle Public Utilities, and Seattle City Light, among others, are also actively implementing various sections of the climate action plan and our climate goals.  </t>
  </si>
  <si>
    <t xml:space="preserve"> 6 FTE in Sustainability Office</t>
  </si>
  <si>
    <t>2 staff in sustainability, many others across departments working on related initiatives</t>
  </si>
  <si>
    <t>Department of the Environment</t>
  </si>
  <si>
    <t>http://aceee.org/research-report/e123</t>
  </si>
  <si>
    <t>Office of Sustainability. Staff in the Mayor's Office of Transportation and Utilities also serve energy management functions, though their focus is not soley on efficiency. Would estimate 1.5 - 2 FTE on municipal energy conservation.</t>
  </si>
  <si>
    <t xml:space="preserve">Currently, approximately 8 FTE work on GHG and EE goal achievement.  </t>
  </si>
  <si>
    <t>In addition to the Sustainability Director, Sustainability Manager, Executive Assistant and Houston Green Office Challenge coordinator in the Mayor's Office of Sustainability, the City also has a C40 City Director that helps with sustainability projects.
The City has staff outside the Office of Sustainability who also work on sustainability programs</t>
  </si>
  <si>
    <t>Five (Specific to Energize Phoenix)</t>
  </si>
  <si>
    <t>Office of Sustainability</t>
  </si>
  <si>
    <t>http://www.atlantaga.gov/index.aspx?page=18</t>
  </si>
  <si>
    <t>7 FTEs are dedicated</t>
  </si>
  <si>
    <t>We have 3 FTEs dedicated in the Mayor's Office of Environmental Stewardship. We have 22 staff assigned to us representing their Deparments and/or Divisions.</t>
  </si>
  <si>
    <t>Green Riverside administered through Riverside Public Utilities</t>
  </si>
  <si>
    <t>http://www.greenriverside.com/</t>
  </si>
  <si>
    <t>Steering committee of executive staff with dedicated goal leads</t>
  </si>
  <si>
    <t>Green Vision 2011 Annual Report</t>
  </si>
  <si>
    <t xml:space="preserve">At all times, the three full-time employees in the Sustainability Office are dedicated to the implementation of the goals. The City Manager, Council, and other supporting officials and departments assist in the research and implementation of these goals. </t>
  </si>
  <si>
    <t>Sustainability Director in the Office of the Mayor</t>
  </si>
  <si>
    <t>The City Office of Sustainability and Energy Efficiency includes the Energy and Utilities Manager &amp; Sustainability Coordinator, both of whom manage City energy goals.</t>
  </si>
  <si>
    <t>Yes.  Approximatly 1.25-FTE city staff positions are dedicated to its community-wide FWBBC; a major portion of the city's Conservation Specialist as well as a lesser-portion of its Sustainability Administrator.</t>
  </si>
  <si>
    <t>2 FTEs</t>
  </si>
  <si>
    <t> Environmental Affairs Department,</t>
  </si>
  <si>
    <t xml:space="preserve">The City does have a full-time staff of 7 FTEs dedicated to the implementation of sustainability goals. </t>
  </si>
  <si>
    <t>Yes, the City Green Officer</t>
  </si>
  <si>
    <t>Green Resolution</t>
  </si>
  <si>
    <t>Energy and Sustainability Manager</t>
  </si>
  <si>
    <t>http://www.power2charlotte.com/welcome-to-power2/energy-sustainability-manager.aspx</t>
  </si>
  <si>
    <t>Urban Heat Island Mitigation Programs</t>
  </si>
  <si>
    <t>Policy Step 2: Informing the Community</t>
  </si>
  <si>
    <t xml:space="preserve">Boston tracks its progress (although mostly in GHG specifics) and reports it annually on our website.  In addition, see presentation on climate performance measures that goes into detail about our annual GHG reporting </t>
  </si>
  <si>
    <t>http://www.greenribboncommission.org/downloads/GRC%20February%2011%20City%20of%20Boston%20Presentation%20Materials.pdf</t>
  </si>
  <si>
    <t>Yes, annual climate action reports</t>
  </si>
  <si>
    <t>http://www.portlandoregon.gov/bps/climate</t>
  </si>
  <si>
    <t>Annual Reporting from SF Department of Environment.</t>
  </si>
  <si>
    <t>annual progress reports and inventories</t>
  </si>
  <si>
    <t>Annual progress reports. Community-wide GHG inventories every three years, in addition to annual highlights reports.</t>
  </si>
  <si>
    <t xml:space="preserve">http://www.seattle.gov/environment/documents/2008-community-inventory-fullreport.pdf </t>
  </si>
  <si>
    <t xml:space="preserve">we report annually on community wide efficiency targets.  In addition, we complete a community GHG inventory every 3 years, 2007 and 2010 were the last inventories.  Finally, the city of Austin's newly adopted comprehensive plan Imagine Austin has many targets and indicators around reducing community wide GHG emissions.  Future reports on plan implementation will include this data.  </t>
  </si>
  <si>
    <t>http://austintexas.gov/imagineaustin</t>
  </si>
  <si>
    <t xml:space="preserve">The Sustainable DC targets were released in February 2013 so work on the tracking system is currently underway, but quarterly updates with an annual full progress report is likely. The city also hosts a green dashboard with publicly available data and a report card included at www.greendashboard@dc.gov. </t>
  </si>
  <si>
    <t>Annual GreenPrint reports</t>
  </si>
  <si>
    <t>http://www.minneapolismn.gov/sustainability/reports/sustainability_minneapolisgreenprint</t>
  </si>
  <si>
    <t>Released in late 2012, the Mayor's Office has committed to a 6 month update on Sustainable Chicago 2015 for second quarter this year, with continuing updates at 6 month intervals planned</t>
  </si>
  <si>
    <t>Greenworks Reports</t>
  </si>
  <si>
    <t>Annual or bi-annual reporting; latest GHG inventory was in 2011 (2012 GHG data collection is underway).
The Denver Energy Challenge tracks and releases an internal report on its outcomes on a monthly basis. Period community updates are released when milestones are reached. The latest monthly report and community report are attached.</t>
  </si>
  <si>
    <t>Sustainability reports track GHG emissions and energy use</t>
  </si>
  <si>
    <t>http://cleanergreener.highrockhosting2.com/uploads/files/AnnualReport2011web.pdf</t>
  </si>
  <si>
    <t>Sustainability Reports released annually</t>
  </si>
  <si>
    <t>http://energize.asu.edu/docs/gios/energize/2012year2/EnergizePhoenixYear2Report.pdf</t>
  </si>
  <si>
    <t>Annual reports include city-wide progress.   The city studied its baseline greenhouse gas emissions in 2005.</t>
  </si>
  <si>
    <t>Baseline greenhouse gas survey completed, plus annual reporting.</t>
  </si>
  <si>
    <t>Yes, annual</t>
  </si>
  <si>
    <t>Regular key indicator reporting on website</t>
  </si>
  <si>
    <t>http://charmeck.org/mecklenburg/county/LUESA/sustainability/Pages/default.aspx</t>
  </si>
  <si>
    <t>Policy Step 3: Comprehensive Community-Wide Energy Management Strategy</t>
  </si>
  <si>
    <t>Community-Wide Energy Efficiency Targets</t>
  </si>
  <si>
    <t>Boston set reduction goals for GHG emissions of 25% by the year 2020 and 80% by the year 2050.  The city also has a goal of 200 megawatt electricity demand reduction through energy efficiency and alternative energy installations by 2017. The city is a Better Buildings Challenge Community Partner committed to 20% reduction in community-wide building energy intensity by 2020.</t>
  </si>
  <si>
    <t>A Climate of Progress
Executive Order 3-3890</t>
  </si>
  <si>
    <t>The 2009 City of Portland/Multnomah County Climate Action Plan (CAP) was adopted by Resolution No. 36748. The plan sets a goal of reducing emissions to 80% below 1990 levels by 2050.</t>
  </si>
  <si>
    <t>Portland Climate Action Plan
Resolution 36748
Comprehensive Plan</t>
  </si>
  <si>
    <t>City Ordinance 81-08 calls for a 20% reduction in emissions below 1990 levels for 2012, 25% by 2017, 40% by 2025 and 80% by 2050. Energy efficiency is integrated into the General Plan, but quantitative goals are not explicitly stated.</t>
  </si>
  <si>
    <t>Strategies to Address Greenhouse Gas Emissions
Climate Action Plan
San Francisco General Plan</t>
  </si>
  <si>
    <t>New York's general plan, PlaNYC, incorporates its goal to reduce GHG emissions by more than 30% by 2030 compared to 2005 levels. Energy efficiency programs are also included in the plan although targets are not explicitly stated.</t>
  </si>
  <si>
    <t>PlaNYC</t>
  </si>
  <si>
    <t>City goals have been incorporated into the comprehensive plan and include GHG and energy targets. Seattle plans to reduce residential energy use by 20% and commercial energy use by 10% by 2030. Its downtown is a 2030 District with a target to reduce energy use 10% below the national average by 2015. The city is a Better Buildings Challenge Community Partner committed to 20% reduction in community-wide building energy intensity by 2020.</t>
  </si>
  <si>
    <t xml:space="preserve">
Seattle Climate Action Plan
Ordinance Amending Comprehensive Plan</t>
  </si>
  <si>
    <t xml:space="preserve">Community targets have been discussed and accepted by stakeholder groups. The city strives for 80% GHG emission reduction below 2005 levels by 2050. </t>
  </si>
  <si>
    <t>Climate Action Report
Resolution 20070215-023</t>
  </si>
  <si>
    <t>Several energy-related goals were included in the city's sustainability plan, Sustainble DC. These include cutting citywide energy use by 50% by 2032, increasing the use of renewables to 50%, and cutting greenhouse gas emissions by 50%. The district is a Better Buildings Challenge Community Partner committed to 20% reduction in community-wide building energy intensity by 2020.</t>
  </si>
  <si>
    <t>Sustainable DC</t>
  </si>
  <si>
    <t xml:space="preserve">The city has set goals to reduce emissions by 15% by 2015 and 30% by 2025. Energy efficiency and climate programs have been incorporated into the city's comprehensive plan, Plan for Sustainable Growth. </t>
  </si>
  <si>
    <t>Minneapolis Greenprint</t>
  </si>
  <si>
    <t>Greenhouse gas emissions reduction goal of 20% by 2025, 80% by 2050 below 1990 levels. Chicago also has an efficiency target to improve city-wide energy efficiency by 5% by 2015. The city is a Better Buildings Challenge Community Partner committed to 20% reduction in community-wide building energy intensity by 2020.</t>
  </si>
  <si>
    <t>Chicago Climate Action Plan
Sustainable Chicago 2015</t>
  </si>
  <si>
    <t>Energy and GHG goals are integrated into the city's comprehensive plan, including a goal to reduce Citywide Building Energy Consumption by 10 Percent below 2006 level by 2015 and a goal to reduce GHG emissions 20% below 1990 levels by 2015.</t>
  </si>
  <si>
    <t>Greenworks Philadelphia
Philadelphia 2035</t>
  </si>
  <si>
    <t>Goals to reduce total CO2-e emissions to below 1990 levels, a 25% absolute decrease by 2020 over the 1990 baseline, and to hold total energy consumed in Denver for buildings, mobility and industrial processes below the total consumed in 2011 while supplying at least half of that total from renewable sources. The city is a Better Buildings Challenge Community Partner committed to 20% reduction in community-wide building energy intensity by 2020.</t>
  </si>
  <si>
    <t>GreenPrint Denver
Executive Order 123</t>
  </si>
  <si>
    <t>Goal of reducing city-wide energy consumption by 15% by 2015 has been integrated into the Baltimore City Sustainability Plan.</t>
  </si>
  <si>
    <t>Baltimore Sustainability Plan
Council Bill 09-0272</t>
  </si>
  <si>
    <t>The city has not formally adopted a long-term community-wide energy-efficiency target, but has joined the Department of Energy's Better Buildings Challenge, which has an energy reduction goal of 20% by 2020. The city also has a stakeholder sustainability coordinating committee.</t>
  </si>
  <si>
    <t>NA</t>
  </si>
  <si>
    <t>In 2006, the Mayor of Dallas signed the U.S. Mayors Climate Change Agreement, a commitment to reduce GHG emissions to seven percent below 1990 levels by 2012. The city has identified energy efficiency as a strategy in its comprehensive plan.</t>
  </si>
  <si>
    <t>Green Dallas Fact Sheet
Forward Dallas! Comprehensive Plan</t>
  </si>
  <si>
    <t>The city works with Environmental Quality Commission, an appointed citizen’s group comprised of fifteen members. No community-wide energy efficiency goals have been established.</t>
  </si>
  <si>
    <t>Reduce greenhouse gas emissions within the City of Atlanta’s jurisdiction 25 percent by 2020, 40 percent by 2030, and 80 percent by 2050. Atlanta is also a Better Buildings Challenge Community Partner committed to 20% reduction in community-wide building energy intensity by 2020.</t>
  </si>
  <si>
    <t>Office of Sustainability Stated Targets</t>
  </si>
  <si>
    <t>SA2020, the city's comprehensive plan, includes a goal to reduce electricity usage by 1% per year per household.</t>
  </si>
  <si>
    <t>SA2020</t>
  </si>
  <si>
    <t>In 2012, the City Council adopted the Sacramento Climate Action Plan to reduce GHG emissions 15% below 2005 levels  by the year 2020, 38% by 2030, 83% by 2050. Climate and energy goals are included in the General Plan. The city is a Better Buildings Challenge Community Partner committed to 20% reduction in community-wide building energy intensity by 2020.</t>
  </si>
  <si>
    <t>Climate Action Plan
2030 General Plan</t>
  </si>
  <si>
    <t xml:space="preserve">The city is currently gathering data with a plan to set community-wide targets. Community members are engaged in the process through GreenSpot. </t>
  </si>
  <si>
    <t>The city has drafted a climate action plan that includes goals to reduce GHG 15% by 2020, 49% by 2035, 83% by 2050 from baseline, as well as additional energy-efficiency targets for existing and new residential and commercial buildings.</t>
  </si>
  <si>
    <t>Draft Climate Mitigation &amp; Adaptation Plan</t>
  </si>
  <si>
    <t>Riverside Public Utilities set a goal for the city to save 1% of communities load annually based on a 2004 baseline, and reduce the City’s peak  electrical load demand by 10% overall.</t>
  </si>
  <si>
    <t>The San José Green Vision, a 15-year plan adopted in 2007 calls for reducing per capita energy consumption to 50% below 2007 levels by 2022. The goal has been integrated into the city's general plan.</t>
  </si>
  <si>
    <t>Goal to reduce energy consumption by 30% by 2014, and transition 20% of City energy supply and 10% of community supply to renewable sources by 2020. The city has identified energy efficiency as a strategy in its comprehensive plan.</t>
  </si>
  <si>
    <t>Livable City Sustainability Plan
Plan El Paso</t>
  </si>
  <si>
    <t>The city has identified an emissions reduction target of 25% by 2020 and 80% by 2050.</t>
  </si>
  <si>
    <t>Pittsburgh's overall reduction goal is to reduce greenhouse gas emissions 20% below 2003 levels by 2023.  This goal applies at the municipal and community level.</t>
  </si>
  <si>
    <t xml:space="preserve">A new greenhouse gas reduction goal for City operations was set in 2012: 35 percent below 2009 levels. The next inventory is planned for 2016 using data from 2015. The goal has not been codified. </t>
  </si>
  <si>
    <t>http://greendallas.net/pdfs/GHG_EmissionsReport_Final2012.pdf</t>
  </si>
  <si>
    <t xml:space="preserve">In December 2008, the city council adopted Resolution 20759 to reduce GHG emissions from city operations to 5 percent below the 2005 levels by 2015. </t>
  </si>
  <si>
    <t>http://phoenix.gov/greenphoenix/sustainability/summary/index.html</t>
  </si>
  <si>
    <t>The city has not codified a target, but has identified the goal to reduce energy use for existing municipal operations 15 percent by 2020, 40 percent by 2030, and 80 percent by 2050.</t>
  </si>
  <si>
    <t>The Mission Verde Plan includes a goal to retrofit all city facilities by 2015, resulting in 12% average facility energy savings. The plan was adopted by City Council in February 2010.</t>
  </si>
  <si>
    <t>http://www.sa2020.org/wp-content/themes/sa2020/pdf/SA2020_Final_Report.pdf</t>
  </si>
  <si>
    <t>2007 Sustainability Master Plan target of reducing energy use in City operations 25% below 2005 levels by 2030.</t>
  </si>
  <si>
    <t xml:space="preserve">The city has set a goal to reduce emissions by 2% each year until 2030 with a short term goal to reduce greenhouse gas emissions from city operations 10% by 2015. Goals are outlined in the Mayor's Green Memo and carried out as part of the Get Green Columbus Initiative. </t>
  </si>
  <si>
    <t>http://columbus.gov/uploadedFiles/Area_of_Interest/Get_Green/Programs/Report05-09.pdf</t>
  </si>
  <si>
    <t xml:space="preserve">Previous goal aimed to reduce energy use 10% by 2012, using 2000 as a baseline. Current draft of 2012 Climate Mitigation and Action Plan sets goal to achieve energy savings of 20% by 2020, and 30% by 2035. </t>
  </si>
  <si>
    <t>In 2007, the City Council adopted San Jose's Green Vision, which calls for a 50% reduction in municipal energy usage from 2007 levels by 2022.</t>
  </si>
  <si>
    <t>Livable City Sustainability Plan includes goal to reduce City of El Paso total energy consumption by 30% by 2014. Currently in the process of updating targets.</t>
  </si>
  <si>
    <t xml:space="preserve">In 2013, the City published its Sustainability Plan and Sustainability Action Agenda. Its city-wide goal also applies to municipal operations: GHG emissions reduction targets: 25% by 2020 and 80% by 2050. </t>
  </si>
  <si>
    <t>Pittsburgh Climate Action Plan v2.0 included Municipal Energy recommendation to reduce energy efficiency in City-owned buildings by 20% over 5 years.</t>
  </si>
  <si>
    <t>http://pittsburghclimate.org/wp-content/uploads/2011/12/Pittsburgh-Climate-Action-Plan-Version-2-FINAL-Web.pdf</t>
  </si>
  <si>
    <t xml:space="preserve">City Council resolution 4130-09-2012 established goal to reduce electricity city consumption five percent each fiscal year for ten years beginning in 2011, in compliance with Texas state law SB 898. City Council resolution 4089-05-2012 authorized Fort Worth to join the Better Buildings Challenge as a Community Partner with the goal of improving city facility energy intensity by at least 20% by 2020. </t>
  </si>
  <si>
    <t>MiPlan, the City of Miami’s Climate Action Plan, outlines how the City will reduce greenhouse gas emissions to 25% below 2007 governmental levels by 2015.</t>
  </si>
  <si>
    <t>http://www.miamigov.com/msi/pages/Climate%20Action/MiPlan%20Final%20062608.pdf</t>
  </si>
  <si>
    <t>The City has developed an Energy Efficiency &amp; Conservation Plan which sets a goal of reducing emissions to 1990 levels by 2025.</t>
  </si>
  <si>
    <t>http://www.tampagov.net/dept_green_tampa/files/2011_Information_Resources/Strategies_and_Reports/EECP_Final_Document_8_30_11.pdf</t>
  </si>
  <si>
    <t xml:space="preserve">Yes </t>
  </si>
  <si>
    <t>retrofit.cityofchicago.org</t>
  </si>
  <si>
    <t>Third Party EM&amp;V</t>
  </si>
  <si>
    <t>For its own operations, Portland participated in the first phase of the Chicago Climate Exchange, which served as a third-party review and involved extensive auditing of City records and protocols. (See attached spreadsheet illustrating these submittals and review.) Currently, the City produces its carbon emissions inventory internally, releasing reports and data to the public to enable independent review.</t>
  </si>
  <si>
    <t>3rd party GHG inventory verification completed by ICF International in 2012.</t>
  </si>
  <si>
    <t>No, but follow Climate Registry protocols in annual GHG inventory</t>
  </si>
  <si>
    <t>Climate Registry, Climate Disclosure Project</t>
  </si>
  <si>
    <t>http://www.austintexas.gov/page/reporting-integrity-protocols#overlay-context=node/16691</t>
  </si>
  <si>
    <t>The District employs an independent third party to conduct EM&amp;V activities.</t>
  </si>
  <si>
    <t>MOS has worked with ICF for the past several years to support metrics tracking and data verification, particularly for GHG inventories.</t>
  </si>
  <si>
    <t xml:space="preserve">Denver has an Environmental Management System in place that covers all City operations.  Annual targets are set around environmental compliance, and also energy efficiency, procurement, etc.  The EMS is ISO 14001-certified by third party auditors.  It is within the purview of the EMS auditors to monitor and verify progress toward annual goals and targets, such as the Office of Sustainability's energy and greenhouse gas reduction goals.    </t>
  </si>
  <si>
    <t>AECOM completed GHG inventory</t>
  </si>
  <si>
    <t>The City uses a third party to compile information.</t>
  </si>
  <si>
    <t>ASU for Energize Phoenix program evaluation and GHG inventory</t>
  </si>
  <si>
    <t>The City asked Georgia Tech to establish a baseline for carbon dioxide emission for city government. GA Tech and Perkins + Will partnered to complete Atlanta's first baseline GHG inventory for municipal assets as well as the entire jurisdiction.</t>
  </si>
  <si>
    <t>We do not employ a third party verifyer to monitor target. However the City has an Accountability Committee established to monitor acheivements made for the 10 year Reform and Efficiency Plan and the Green Team, which is a group of 35 community and environmental experts that monitor progress as well.</t>
  </si>
  <si>
    <t>GHG verification, ENERGY STAR building certification</t>
  </si>
  <si>
    <t>Departmental/Staff Incentives</t>
  </si>
  <si>
    <r>
      <t xml:space="preserve">The City currently has a system in place to provide key performance indicators to responsible individuals (“Boston About Results” or “BAR”). The City is about to acquire an enterprise energy management system (EEMS), however, that will provide much more detailed information and KPIs to those same individuals to encourage energy efficiency at the department level.   </t>
    </r>
    <r>
      <rPr>
        <b/>
        <sz val="9"/>
        <color indexed="8"/>
        <rFont val="Calibri"/>
        <family val="2"/>
      </rPr>
      <t xml:space="preserve">The Office of Budget Management allows departments to use utility incentive payments for addition departmental capital projects. </t>
    </r>
  </si>
  <si>
    <t xml:space="preserve">Portland has a relatively decentralized form of government, and any city bureau that completes an efficiency project keeps 100% of the savings, reducing its operating costs. The City also levies an internal energy surcharge of 1% of bureau energy bills, which fund the dedicated City Energy Challenge position described above, which works with operations managers to reduce energy use. </t>
  </si>
  <si>
    <t xml:space="preserve">In 2008, the Board of Supervisors approved an ordinance requiring each department to track their carbon footprints individually in order to produce an annual Climate Action Plan. Annual Green &amp; Blue Awards celebrate outstanding accomplishments and leadership in the field of sustainability by City staff and departments. Additionally, the SFPUC provides energy efficiency services including project subsidies, efficiency &amp; renewables project management, and management of contractual vehicles to provide commissioning. SF Environment manages contractual vehicles to provide easy access to LEED project services, including energy efficiency. The Municipal Green Building Task Force meets monthly for professional development, administer updates to green building policy for municipal buildings, and to affirm city goals and requirements are met. </t>
  </si>
  <si>
    <t>http://www.sfenvironment.org/about/taskforce/municipal-green-building-task-force</t>
  </si>
  <si>
    <t>All departments must develop and implement climate action plans. In addition, all departments have budget performance measures related to their departmental carbon footprint.  Department Directors are evaluated on their performance in these areas on an annual basis.</t>
  </si>
  <si>
    <t>http://www.austintexas.gov/sites/default/files/files/Sustainability/Climate/COA-_GHG.pdf</t>
  </si>
  <si>
    <t>Yes, through Results Minneapolis, detailed departmental goals on energy efficiency, green purchasing, green fleets, etc.</t>
  </si>
  <si>
    <t>http://www.ci.minneapolis.mn.us/coordinator/rm/results-oriented-minneapolis_reports</t>
  </si>
  <si>
    <t xml:space="preserve">Yes, installing a Chief Sustainability Officer to the Mayor's Office has established a clear management structure and emphasized sustainability and energy efficiency as a policy priority. As part of Mayor Emanuel's sustainability action agenda, Sustainable Chicago 2015, the Mayor appointed 10 departmental commissioners to a Sustainability Council tasked with overseeing implementation of the plan. </t>
  </si>
  <si>
    <t xml:space="preserve">Utility bill management system enables facility level energy reporting on a monthly basis for City-owned facilities to drive conservation. Mayor's Energy Efficiency Fund (EEF),  offers funding to departments on a competitive basis to support the implementation of  energy efficiency projects within existing City-owned facilities. </t>
  </si>
  <si>
    <t xml:space="preserve">Denver uses Peak Performance to gain efficiencies and establishes agency performance metrics, strategic resource alignment and continuous improvement.  Since energy efficiency goals are included in XO 123, Peak Performance, and the City's Environmental Management System annual targets, all agencies are expected to work toward energy savings.  </t>
  </si>
  <si>
    <t>Dallas uses an Environmental Management System to create goals, and trains employees to implement EMS procedures and goals in their various workplaces.</t>
  </si>
  <si>
    <t>http://www.dallascityhall.com/oeq/ems_whatisit.html</t>
  </si>
  <si>
    <t>Each department has their own Department Level Accountability Plan, which incorporates actions that support the City's Sustainability Plan. The Department Level Accountability plans were developed in partnership with commissioners in each department.</t>
  </si>
  <si>
    <t xml:space="preserve">Individual department sustainability plans are required 
for the City of San Antonio to move toward a greater 
application of sustainability  principles reduced operating costs and a smaller environmental footprint. </t>
  </si>
  <si>
    <t xml:space="preserve">The internal group is called Green Coordinators. They represent each Department and/or Division in the City. The group meets with the Office of Environmental Stewardship monthly to track progress on Green Memo II initiatives. In addition, Human Resources Department has an annual employee recognition and award ceremony. If employees save the city money through efficiencies, they get paid 10% or up to $7,000 of the documented savings. </t>
  </si>
  <si>
    <t>http://intranet/HumanResources/Special%20Events/2013%20Employee%20Recognition%20Awards%20Program.pdf</t>
  </si>
  <si>
    <t>Award programs for staff in buildings or departments with significant reductions in energy consumption.  However due to recent budget shortfalls, incentives such as "time off with pay" have been reduced or eliminated until the economy improves.</t>
  </si>
  <si>
    <t>http://www.sandiego.gov/environmental-services/pdf/sustainable/090600energystrategy.pdf</t>
  </si>
  <si>
    <t xml:space="preserve">2011 – 2012 we began Green Star which recognizes internal employees and divisions for their outstanding work in the area of Sustainability.  Green Star’s are recognized in the quarterly Green Scene newsletter.  </t>
  </si>
  <si>
    <t>Jim Sloss</t>
  </si>
  <si>
    <t xml:space="preserve">Led by the Office of Sustainability, the City utilizes an employee energy conservation policy to educate employees and encourage energy conservation. </t>
  </si>
  <si>
    <t>Employee Conservation Policy Document</t>
  </si>
  <si>
    <t xml:space="preserve"> The City is in the process of developing an Internal Environmental Operations Plan; a key component of this program will be employee engagement and behavior change. In the mean time, it has used several competitions and games to encourage energy-efficient behavior.</t>
  </si>
  <si>
    <t>Green Riverside Green Action Plan 2012</t>
  </si>
  <si>
    <t>http://fortworthtexas.gov/sustainability/default.aspx?id=70588</t>
  </si>
  <si>
    <t>City idling restriction: Detroit City Code, Part 3 § 55-6-91.
The City of Detroit passed an anti-idling ordinance in late 2010. This ordinance states that engine idling is limited to 5 consecutive minutes during any 60-minute period for commercial vehicles over 8,500 gross lbs. (class 2b and above), but there are some exceptions.
Violating the ordinance can result in fines of $150 to the vehicle operator and/or $500 to the vehicle owner. Up to 3 civil infractions may be issued in the first hour, up to 4 in the next hour, and up to 9 total can be issued for subsequent 60-minute periods. The Detroit Police Department (Traffic Enforcement) is responsible for enforcing this ordinance.</t>
  </si>
  <si>
    <t>http://chargeportland.com/</t>
  </si>
  <si>
    <t>Fuel efficiency and vehicle infrastructure</t>
  </si>
  <si>
    <t>Above code requirements for public buildings</t>
  </si>
  <si>
    <t>In 2007, Mayor Menino directed that all new municipal buildings should be should be LEED Silver Certified.  The City of Boston has a very minimal amount of leased space.  As part of soon to approved Energy Reporting and Disclosure Ordiance (proect passage in April 2013), all 351 buildings will use   Portfolio Manager and publicly disclosed.</t>
  </si>
  <si>
    <t>http://www.cityofboston.gov/Images_Documents/Clim_Action_Exec_Or_tcm3-3890.pdf</t>
  </si>
  <si>
    <t xml:space="preserve">For new construction, City projects must achieve LEED Gold with energy performance 30% better than the LEED prerequisite. Tenant improvement projects and leased space must meet LEED-CI Silver. </t>
  </si>
  <si>
    <t>http://www.portlandoregon.gov/auditor/34835?a=250416</t>
  </si>
  <si>
    <t xml:space="preserve">Environment Code Chapter 7 requires LEED Gold certification for all municipal new construction and major alteration projects of 5000 square feet or more in city-owned facilities and city leaseholds.
23 muncipal projects have earned LEED certification, totalling 3.7 million sq ft, leveraging $1.8 billion in capital investments.
44 municipal projects are in planning or construction, totalling 5.6 million square feet and leveraging $5.4 billion capital investment.
</t>
  </si>
  <si>
    <t>DSIRE database</t>
  </si>
  <si>
    <t>In 2005 New York City passed a law (Local Law No. 86) making a variety of green building and energy efficiency requirements for municipal buildings and other projects funded with money from the city treasury. The building requirements (described in detail below) apply to new construction, building additions, and substantial reconstructions of existing buildings. Program regulations were adopted in 2007 and then amended slightly in 2009 to reference updated green building rating standards. In June 2011 the Mayor issued Executive Order No.149 allowing the Mayor's Office of Environmental Coordination (MOEC) to evaluate developments affecting the green buildings industry and based on these developments, promulgate rules that increase the stringency of the current standards or expand the types of capital projects subject to the standards. </t>
  </si>
  <si>
    <t>http://www.nyc.gov/html/gbee/html/public/leed.shtml</t>
  </si>
  <si>
    <t>PACE financing (comm); rebates (res); free energy audit program (res); weatherization assistance program (res)</t>
  </si>
  <si>
    <t>DSIRE Database</t>
  </si>
  <si>
    <t>Streamlined permitting process</t>
  </si>
  <si>
    <t>Density Bonus</t>
  </si>
  <si>
    <t>Loan program (res and comm)</t>
  </si>
  <si>
    <t>http://www.sustainablecolorado.org/blog/high-performance-buildings/colorado-9th-in-most-leed-certified-buildings</t>
  </si>
  <si>
    <t>Tax abatements, incentives, free weatherization measures</t>
  </si>
  <si>
    <t>Expedited permitting (res and comm)</t>
  </si>
  <si>
    <t>http://www.dsireusa.org/incentives/incentive.cfm?Incentive_Code=TX31R&amp;re=0&amp;ee=0</t>
  </si>
  <si>
    <t>Rebate (comm); incentive (res)</t>
  </si>
  <si>
    <t>http://phoenix.gov/pdd/services/permitservices/green_building.html</t>
  </si>
  <si>
    <t>Rebate</t>
  </si>
  <si>
    <t>Code of Ordinances Part II Chapter 10 Article X</t>
  </si>
  <si>
    <t>Financing (through a PACE-like program for res and comm)</t>
  </si>
  <si>
    <r>
      <t>Grants for LEED certification (comm and res); fund matching for specific multifamily projects building ENERGY STAR</t>
    </r>
    <r>
      <rPr>
        <sz val="9"/>
        <color indexed="8"/>
        <rFont val="Garamond"/>
        <family val="1"/>
      </rPr>
      <t>–</t>
    </r>
    <r>
      <rPr>
        <sz val="9"/>
        <color indexed="8"/>
        <rFont val="Franklin Gothic Book"/>
        <family val="2"/>
      </rPr>
      <t>certified buildings with utility incentives</t>
    </r>
  </si>
  <si>
    <t>http://development.columbus.gov/uploadedFiles/Development/Housing_Division/Document_Library/AWARE%20Manual_February2011.pdf</t>
  </si>
  <si>
    <t>Rebate (comm); PACE financing (res and comm)</t>
  </si>
  <si>
    <t>Grants (comm); expedited permitting (res and comm)</t>
  </si>
  <si>
    <t>http://home.elpasotexas.gov/city-development/documents/incentives/Green%20Building%20Grant%20Program%20Guidelines.pdf</t>
  </si>
  <si>
    <t>PACE financing (res and comm)</t>
  </si>
  <si>
    <t>Density bonus (comm)</t>
  </si>
  <si>
    <t>PACE financing (comm)</t>
  </si>
  <si>
    <t>Reduced permitting fees</t>
  </si>
  <si>
    <t>Expedited plan review (comm), rebate (res and comm)</t>
  </si>
  <si>
    <t>Tax abatements (res and comm)</t>
  </si>
  <si>
    <t>Grants (commercial and public)</t>
  </si>
  <si>
    <t>Comprehensive Efficiency Services</t>
  </si>
  <si>
    <t>Yes - Renew Boston program conducts outreach for MassSave program</t>
  </si>
  <si>
    <t>Energy Trust</t>
  </si>
  <si>
    <t>http://energytrust.org/residential/evaluate-your-home/home-performance-energy-star/</t>
  </si>
  <si>
    <t xml:space="preserve">Yes.  All California investor owned utilities are required to offer a home performance program, Energy Upgrade California for single family buildings.  The City used ARRA funds to supplement the incentives, and is partnering </t>
  </si>
  <si>
    <t>http://thecbpca.org/</t>
  </si>
  <si>
    <t>NYSERDA</t>
  </si>
  <si>
    <t>http://www.energystar.gov/index.cfm?fuseaction=hpwes_profiles.showFindaProgram</t>
  </si>
  <si>
    <t xml:space="preserve">Yes, through Puget Sound Energy. In addition to traditional utlity programs  the City of Seattle also has Community Power Works, an innovative pilot program testing new models for energy efficiency in the residential, commercial, and institutional sectors. We are developing and testing clean energy innovation through a series of robust public-private partnerships.   Community Power Works provides a “one-stop shop” for energy upgrades in single-family homes by offering low-cost energy assessments, rebates, financing, and pre-approved contractors.   Seattle City Light also provides weatherization rebates for customers.  </t>
  </si>
  <si>
    <t>DCSEU</t>
  </si>
  <si>
    <t>http://www.dcseu.com/for_your_home/DC_home_performance</t>
  </si>
  <si>
    <t>Xcel</t>
  </si>
  <si>
    <t>Through the State</t>
  </si>
  <si>
    <t>http://www.illinoishomeperformance.org/</t>
  </si>
  <si>
    <t>http://www.keystonehelp.com/index.php</t>
  </si>
  <si>
    <t>Yes, through Xcel Energy</t>
  </si>
  <si>
    <t>http://www.xcelenergy.com/Save_Money_&amp;_Energy/Find_a_Rebate/Home_Performance_with_ENERGY_STAR_-_CO</t>
  </si>
  <si>
    <t>Through BGE</t>
  </si>
  <si>
    <t>http://www.bgesmartenergy.com/residential/home-performance-energy-star</t>
  </si>
  <si>
    <t>CenterPoint Energy</t>
  </si>
  <si>
    <t>http://www.azhomeperformance.com/index.html</t>
  </si>
  <si>
    <t>HPwES http://www.southfacehomeperformance.com/</t>
  </si>
  <si>
    <t>SMUD</t>
  </si>
  <si>
    <t>http://hpp.smud.org/</t>
  </si>
  <si>
    <t>https://energycenter.org/upgrade/</t>
  </si>
  <si>
    <t>Efficiency First</t>
  </si>
  <si>
    <t>Earthways</t>
  </si>
  <si>
    <t>Consumers Energy</t>
  </si>
  <si>
    <t>http://www.consumersenergy.com/eeprograms/HPHome.aspx?id=4896</t>
  </si>
  <si>
    <t>Above code requirements for certain private buildings</t>
  </si>
  <si>
    <r>
      <rPr>
        <b/>
        <sz val="9"/>
        <color indexed="8"/>
        <rFont val="Calibri"/>
        <family val="2"/>
      </rPr>
      <t xml:space="preserve">Commercial: </t>
    </r>
    <r>
      <rPr>
        <sz val="9"/>
        <color indexed="8"/>
        <rFont val="Calibri"/>
        <family val="2"/>
      </rPr>
      <t xml:space="preserve">By amending Article 37 of the municipal zoning code, the City requires that all projects over 50,000 sq meet the U.S. Green Building Council's LEED certification standards.  Boston adopted the Energy Stretch Code, requires all buildings be 20% of base energy code.
</t>
    </r>
    <r>
      <rPr>
        <b/>
        <sz val="9"/>
        <color indexed="8"/>
        <rFont val="Calibri"/>
        <family val="2"/>
      </rPr>
      <t xml:space="preserve">Residential: </t>
    </r>
    <r>
      <rPr>
        <sz val="9"/>
        <color indexed="8"/>
        <rFont val="Calibri"/>
        <family val="2"/>
      </rPr>
      <t xml:space="preserve"> Article 37 applies to all buildings over 50,000 sqft. All residential buildings must have a maximum score of 65.</t>
    </r>
  </si>
  <si>
    <t>http://www.mass.gov/eea/docs/doer/green-communities/grant-program/stretch-code-qa-feb10-2011.pdf</t>
  </si>
  <si>
    <t xml:space="preserve">Commercial: SF Building Code 13C  green building requirements apply to all new buildings and most alterations. For example, new commercial buildings &gt;25k sq ft must meet the LEED Gold standard. Numerous specific requirements apply, and do not fit in this cell. See Administrative Bulletin 093 for summary tables. 
Residential: SF Building Code 13C  green building requirements apply to all new buildings and most alterations. For example, new residential high rises must must meet the LEED Silver standard. Numerous specific local requirements apply in addition to CalGreen and other state codes. See Administrative Bulletin 093 for details. </t>
  </si>
  <si>
    <t xml:space="preserve"> Local Law 87 (LL87) mandates that buildings 50,000 gross square feet or larger undergo periodic energy audit and retro-commissioning measures, as part of the Greener, Greater Buildings Plan (GGBP).
Additional Info: LL87 Covered Buildings: 2,496,298,944 sq ft
</t>
  </si>
  <si>
    <t>Austin has mandatory above-code green building requirements that apply to new private buildings in defined areas of the city, including the central business district and the Mueller Redevelopment, among others. Requirements vary, but all include a level of attainment in LEED or the Austin Energy Green Building Program.  The requirements apply to both commercial and residential properties.</t>
  </si>
  <si>
    <t>Commercial: New construction and major renovation of privately-owned non-residential buildings over 50,000 square feet must achieve LEED at the Certified level as of January 1, 2012. 
Residential: If there is at least 15% of public funding (broadly defined to include ground leases, TIF districts, etc.) in residential projects &gt;10,000 SF, they much achieve Green Communities certification or LEED.</t>
  </si>
  <si>
    <t>Commercial: Under the City's Sustainable Development Policy, any projects receiving assistance or in a Planned Development zone must meet LEED Silver certification or better and green roof.</t>
  </si>
  <si>
    <t>No, however the State of Colorado and Denver have a spirit of voluntary commitment to the environment.  We are leaders in LEED certified buildings and ENERGY STAR commercial buildings, and consistently rank higher than many cities of larger populations.</t>
  </si>
  <si>
    <t>Baltimore Green Building Standards for commercial buildings 
(and for multifamily buildings larger than 10,000 sf)</t>
  </si>
  <si>
    <t>http://www.baltimorehousing.org/permit_bcgbs</t>
  </si>
  <si>
    <t>The City has a Green Building Resolution, which sets a target of LEED-Silver certification for new construction, replacement facilities and major renovations of city of Houston-owned buildings and facilities with more than 10,000 square feet of occupied space.  The City of Houston has 20 LEED Certified projects with 8 projects under review or in the pipeline.  In our municipal energy efficiency program, over 100 City facilities, 6 million square feet, are achieving guaranteed energy use reductions of 30% with paybacks of, on average, less than ten years.  The City will be using qualified energy conservation bonds (QECBs) to fund the next portion of energy efficiency retrofits for the public libraries.  Also, all City buildings are being benchmarked in EPA’s Portfolio Manager, over 300 buildings, in hopes to have as many of them achieve an Energy Star rating.
In recent years, HISD has committed to building all of its new facilities to LEED standards. The district has made the same commitment for all new schools that will be built under the 2012 bond program.
Stadiums and cultural facilities are required to adhere to the City's energy codes and would be required to follow the Green Building Resolution if it were a City-funded project.
BBVA Compass Stadium, where the Houston Dynamos soccer team plays, is the first new construction LEED® Silver sports facility in the city of Houston
In 2010 the Toyota Center became the first professional sports facility in Texas to achieve LEED certification.</t>
  </si>
  <si>
    <r>
      <t xml:space="preserve">Commercial: New buildings less than 50,000 square feet must meet minimum energy consumption required by the Dallas Energy Conservation Code; Must utilize Energy Star cool roofs.New buildings more than 50,000 square feet must demonstrate a number of LEED credits; Minimum points are required depending on project type. By October 2013, all new projects must meet LEED standards.
Residential: Currently, New buildings must submit a checklist demonstrating that they meet minimum energy consumption required by the Dallas Energy Conservation code (HERS index of 85 or less) </t>
    </r>
    <r>
      <rPr>
        <b/>
        <sz val="9"/>
        <color indexed="8"/>
        <rFont val="Calibri"/>
        <family val="2"/>
      </rPr>
      <t>By October 2013, all new projects must meet LEED standards.</t>
    </r>
  </si>
  <si>
    <t xml:space="preserve">Commercial &amp; Residential: Voluntary green building code is currently available. </t>
  </si>
  <si>
    <t>New residential/commercial construction must achieve overall energy savings of 15% over current energy codes.</t>
  </si>
  <si>
    <t>None for Commercial. 
Residential: Yes for city funded housing projects we require builders to build to our AWARE standards.</t>
  </si>
  <si>
    <t>Commercial: Yes. Tier 2 Commercial Projects include commercial industrial buildings (non-residential) of more than 25,000 square feet but less than 75 feet in height. These projects must LEED Silver certified.
Residential:  Tier 1 Residential Projects are required to complete a GreenPoint Rated Checklist or a LEED Checklist.</t>
  </si>
  <si>
    <t>http://www.dsireusa.org/incentives/incentive.cfm?Incentive_Code=CA65R&amp;re=0&amp;ee=0</t>
  </si>
  <si>
    <t>Requirement that all publicly-financed development over $2 million or 10,000 square feet attain a minimum of LEED Silver rating</t>
  </si>
  <si>
    <t>Commercial &amp; large multifamily: LEED Silver</t>
  </si>
  <si>
    <t>LEED Silver Certification for all County facilities 
over $2million. LEED checklist for small projects and renovations</t>
  </si>
  <si>
    <t>http://www.charmeck.org/city/charlotte/epm/Services/Bids/Documents/Sustainable%20Facilities%20Policy.pdf</t>
  </si>
  <si>
    <t>EO 2008-3: All applicable new city buildings and major renovations will be built and certified to the appropriate LEED standards and achieve Energy Star status. Existing buildings shall incorporate all appropriate LEED-EB principles into facility operation and maintenance</t>
  </si>
  <si>
    <t>Retrofit requirements</t>
  </si>
  <si>
    <t xml:space="preserve">As part of the recently passed Building Energy Reporting and Disclosure Ordinance, buildings that are not ENERGY STAR certified or showing improvement on energy reductions must take an “energy action“ including an energy assessment or retrocommissioning every five years.
See Section 7-2.2 (f), Energy assessments or action requirements - </t>
  </si>
  <si>
    <t>http://www.cityofboston.gov/environmentalandenergy/conservation/berdo.asp</t>
  </si>
  <si>
    <t>Commercial: NYC Local Law 88; all buildings subject to amendments enacted through Green Codes Task Force - lighting retrofits
Residential: LL87 (energy audit and retrocommissioning) apply to residential buildings as well</t>
  </si>
  <si>
    <t>Energy and Water Utilities and Public Benefits Programs</t>
  </si>
  <si>
    <t>Policy Step 1: Getting Started Through Incentives</t>
  </si>
  <si>
    <t>Electric Efficiency Spending (% of Revenue)</t>
  </si>
  <si>
    <t>EIA Form 861; Spending for 2010 from NSTAR Electric 2010 EE Annual Report, Appendix B - DPU 08-50 Support Tables, page 8</t>
  </si>
  <si>
    <t>EIA Form 861/ Energy Trust of Oregon</t>
  </si>
  <si>
    <t>EIA Form 861</t>
  </si>
  <si>
    <t>http://austinenergy.com/About%20Us/Company%20Profile/dataLibrary/pdfs/EES/EES-programExpenditures.pdf</t>
  </si>
  <si>
    <t>DCSEU Annual Report 2011</t>
  </si>
  <si>
    <t>APPLICATION OF ONCOR ELECTRIC DELIVERY COMPANY, LLC FOR 2013 ENERGY EFFICIENCY COST RECOVERY FACTOR Case 40361-1</t>
  </si>
  <si>
    <t>EIA Form 861 2011</t>
  </si>
  <si>
    <t>http://www.oncor.com/EN/Documents/Investors/Q4%2011%20INVDECK.pdf</t>
  </si>
  <si>
    <t>Natural Gas Efficiency Spending ($ Thousand)</t>
  </si>
  <si>
    <t>Boston Gas Company, Colonial Gas Company and Essex Gas Company d/b/a National Grid’s 2010 Energy Efficiency Annual Report, Appendix B, page 4</t>
  </si>
  <si>
    <t>Energy Trust of Oregon 2011 Annual Report to OUC Pg. 19 Table E</t>
  </si>
  <si>
    <t>annualized spending from cumulative total reported by PG&amp;E for 2011</t>
  </si>
  <si>
    <t>2011 EEPS Annual Report</t>
  </si>
  <si>
    <t>Texas Gas 2011 Conservation Program Report, p 20</t>
  </si>
  <si>
    <t>Docket No. E,G002/CIP-09-198, 2011, Table 3</t>
  </si>
  <si>
    <t>ICC Report PY1, 4th Quarter</t>
  </si>
  <si>
    <t>PHILADELPHIA GAS WORKS FIVE-YEAR ENERGYSENSE DEMAND SIDE MANAGEMENT PORTFOLIO THIRD YEAR IMPLEMENTATION PLAN, FISCAL YEAR 2013,  Table 11</t>
  </si>
  <si>
    <t>2011 DSM Annual Report, Table 1b</t>
  </si>
  <si>
    <t xml:space="preserve">Total MD EE budget according to State Scorecard is $161,000. Gas budget (4.6 million) is approximately 3% of total. </t>
  </si>
  <si>
    <t>No spending on gas programs through Texas gas CEE program</t>
  </si>
  <si>
    <t xml:space="preserve">http://www.atmosenergy.com/home/efficiency/CEE_Report_march_2013.pdf </t>
  </si>
  <si>
    <t>Southwest Gas Corporation Docket No. G-01551 -A-I 2, Exhibit A, page 3</t>
  </si>
  <si>
    <t>(annualized spending from cumulative total reported by PG&amp;E for 2011</t>
  </si>
  <si>
    <t>Sarah Poe</t>
  </si>
  <si>
    <t>annualized spending from cumulative total reported by SDG&amp;E for 2011</t>
  </si>
  <si>
    <t>SCG 2011 Annual Report, December 2011 Monthly Report</t>
  </si>
  <si>
    <t>(2011) Docket 120004--GU, Actual 2011 Expenditures, page 3</t>
  </si>
  <si>
    <t>Case 42767. Citizens Gas Natural Gas DSM Program Final Report, Program Year 3Program Year 3 Portfolio Summary</t>
  </si>
  <si>
    <t>5/2/2012 Docket 120004, 2011 True Up page Exhibit KMF-1, page 2</t>
  </si>
  <si>
    <t>Piedmont Natural Gas Company Inc.'s Annual Conservation Program Report (Docket G-9 Sub 550A)</t>
  </si>
  <si>
    <t xml:space="preserve"> Michigan Consolidated Gas Company’s Application for Approval of The Reconciliation of Its 2011 Energy Optimization Plan Expenses. Before the Michigan Public Service Commission. Case No. U-16751.</t>
  </si>
  <si>
    <t>Electric Savings (% KWh sales)</t>
  </si>
  <si>
    <t>EIA Form 861; annual savings from 2010 annual report Table I.A</t>
  </si>
  <si>
    <t>http://austinenergy.com/About%20Us/Company%20Profile/dataLibrary/pdfs/EES/EES-annualEnergySavings.pdf</t>
  </si>
  <si>
    <t>http://www.energyright.com/pdf/highlights_2012.pdf</t>
  </si>
  <si>
    <t>Green stormwater infrastructure (Rates in place)</t>
  </si>
  <si>
    <t>Policy Step 2: Accessible Energy Utility Data</t>
  </si>
  <si>
    <t>Energy Data Provision</t>
  </si>
  <si>
    <t>Policy Step 3: Comprehensive Energy Management at Utilities</t>
  </si>
  <si>
    <t>EE Targets and Funding Agreements</t>
  </si>
  <si>
    <t>Renew Boston</t>
  </si>
  <si>
    <t>http://www.renewboston.org/</t>
  </si>
  <si>
    <t xml:space="preserve">The City has partnered with the utilities on numerous programs, including Sustainability at Work (program is partly funded by utilities and offers comprehensive, free assistance for any Portland organization looking to create a more sustainable workplace); Clean Energy Works Portland/Oregon, a whole-home retrofit financing program that offers utility on-bill repayment; and Bucks for Buildings, an ARRA-funded small commercial rebate offer that layers on top of utility-sector incentives. </t>
  </si>
  <si>
    <t>http://www1.eere.energy.gov/buildings/betterbuildings/neighborhoods/oregon_profile.html</t>
  </si>
  <si>
    <t>Yes, the City of San Francisco partners with Pacific Gas and Electric to form the SF Energy Watch program targeting multifamily and commercial and property owners to offer incentives, technical services, and quality control for energy efficiency upgrades for both electric and gas.As an extension of ARRA funded programs, the City is a partner in the newly ratepayer funded $26 million Bay Area Regional Energy Network program</t>
  </si>
  <si>
    <t>http://www.sfenvironment.org/energy/energy-efficiency/commercial-and-multifamily-properties/sf-energy-watch</t>
  </si>
  <si>
    <t>Additional Info: The City has consistently advocated for more streamlined spending of EEPS funds through regulatory proceedings. See- NYC NY State Regulatory Efficiency Filings</t>
  </si>
  <si>
    <t>http://documents.dps.ny.gov/public/Common/SearchResults.aspx?MC=0&amp;DFF=1/15/2013&amp;CI=0&amp;FC=4172</t>
  </si>
  <si>
    <t xml:space="preserve">The City of Seattle does advocate to increase the energy efficiency of all buildings across all sectors within the city limits.  Most advocacy is done in partnership with the City's electric utility, Seattle City Light.  </t>
  </si>
  <si>
    <t>Yes, city policy directs Austin Energy to implement their programs striving for 35% renewables, the CO2 cap, as well as 800MW of energy efficiency.  We advocate and spend on our own behalf due to our own resolutions from city council.</t>
  </si>
  <si>
    <t>Yes, we partner on marketing rebate programs and Home Energy Squad services</t>
  </si>
  <si>
    <t>http://www.mncee.org/hes-mpls/</t>
  </si>
  <si>
    <t>Portland's Green Building Policy requires that new or major renovations employ building commissioning strategies as required by the State of Oregon Department of Energy to be eligible for the Sustainable Building Business Energy Tax Credit.  All occupied, City-owned existing buildings will pursue LEED for Existing Buildings Operation and Maintenance (EBOM) certification at the Silver level, which has a commissioning component.</t>
  </si>
  <si>
    <t>http://www.portlandonline.com/auditor/index.cfm?&amp;a=250416&amp;c=34835</t>
  </si>
  <si>
    <t>In 2011-2012, SFPUC budgeted $5.6 million for energy efficiency. 
In 2012-2013, SFPUC budgeted $1.5 million for energy efficiency.
Services including RCx are prioritized based on total energy use and other key factors</t>
  </si>
  <si>
    <t>In December 2009, the City Council passed four laws, collectively known as the GGBP, that require energy efficiency upgrades and energy transparency in large existing buildings. Specifically, these laws call for annual benchmarking, energy audits, retro-commissioning, lighting upgrades, and sub-metering of commercial tenant space. This applies to both public and private buildings</t>
  </si>
  <si>
    <t>Goal: 20% reduction in energy use across City’s building portfolio by 2020. Policy under development as part of the Resource Conservation Management Plan, expected to be complete in mid 2013</t>
  </si>
  <si>
    <t>http://www.seattle.gov/environment/documents/Mpal%20Ops%20CAP%202012%20Framework%20Progress%20Report%20020713.pdf</t>
  </si>
  <si>
    <t xml:space="preserve">No policy in place, we retrocommission as funds and staff resources are available. 2010-2011 Report included commissioning — confirming that building systems function correctly—at the City’s 14 largest buildings. </t>
  </si>
  <si>
    <t>Energy efficiency retrofits of many millions of square feet of real estate in FY14, from improved lighting systems to high efficiency HVAC systems. Energy audits of most DGS buildings, completed in 2011, indicate over 2,000 specific Energy Conservation Measures that would significantly reduce consumption.</t>
  </si>
  <si>
    <t>http://dgs.dc.gov/page/alternative-financing</t>
  </si>
  <si>
    <t>Target 10 million square feet of municipal buildings for energy reduction of 20%. Through a new program called Retrofit Chicago, energy efficiency work will be the first 
series of investments made by the Trust, pending approval by the City Council. By aggregating energy efficiency projects across the City and its sister agencies and tapping into private investment, the Trust will accelerate retrofit projects that would otherwise not have been possible.Target 10 million square feet of municipal buildings for energy reduction of 20%. Through a new program called Retrofit Chicago, energy efficiency work will be the first 
series of investments made by the Trust, pending approval by the City Council. By aggregating energy efficiency projects across the City and its sister agencies and tapping into private investment, the Trust will accelerate retrofit projects that would otherwise not have been possible.</t>
  </si>
  <si>
    <t>http://www.cityofchicago.org/content/dam/city/depts/mayor/Press%20Room/Press%20Releases/2012/April/4.24.12InfraTrust.pdf</t>
  </si>
  <si>
    <t>Greenworks aims to raise the portion of  the City’s infrastructure in a state of  good repair to 80% by 2015
The Department of Public Property received funding to hire 16 new employees to support a Preventive Maintenance pilot in city facilities. city anticipates this pilot will improve facility conditions, extend equipment life, reduce overall maintenance costs, and conserve energy.</t>
  </si>
  <si>
    <t>XO123 directs agencies to implement LEED EB: O&amp;M best practices.  At this time there is not a policy in place for retrocommisioning, but a recent pilot project has been completed.   The City has audited and retro-commissioned 65 City buildings.  In addtion, the CIty has recently implemented a Faciltiy Condition Assessment program,  a systematic approach to gathering data regarding building systems and equipment.  Both programs will support better capital planning as it relates to energy efficiency.  A formalized process that incorporates retro and ongoing commissioning and facility condition assessments is expected to by finalized and in place by summer.</t>
  </si>
  <si>
    <t>Sustainability plan calls for retrofitting of school buildings. The City of Baltimore has been working with Johnson Controls to implement energy saving features in a number of city buildings.</t>
  </si>
  <si>
    <t>http://www.baltimoresustainability.org/uploads/files/Sustainability_Plan.pdf</t>
  </si>
  <si>
    <t>In the City's municipal energy efficiency program, 6 million square feet, are achieving guaranteed energy use reductions of 30% with paybacks of, on average, less than ten years.  The most recent tranche of work has occurred in the City’s Parks and Recreation Department: over $10 million in energy efficiency retrofits.</t>
  </si>
  <si>
    <t>Performance contracting is used to refit some buildings.  
The City is also replacing aged building stock with newer, greener buildings to help reduce impacts.  New building construction is governed by the Green Building Program of 2003 (Resolution 03-0367).
The strategy calls for buildings with the highest energy use per square foot (kWh/sf) or biggest equipment needs to receive priority for retrofits</t>
  </si>
  <si>
    <t>Goal for EE in existing buildings  assumes that a reduction of 1.5 percent of 2005 electricity use can be achieved in approximately 60 percent of the buildings managed by the Public Works Department. Energy Savings Reinvestment Fund (Energy Conservation Fund) provides funding for energy efficiency retrofit projects including heating, ventilation and air conditioning, lighting retrofits, energy efficient pumps for the water distribution systems and public pools, and LED traffic signals. The fund is managed by Public Works Department and projects are conducted with the General Fund departments, the Water Services Department, and the Phoenix Convention Center.</t>
  </si>
  <si>
    <t>2009 Climate Action Plan for Government Operations</t>
  </si>
  <si>
    <t>Georgia enabled the usage of ESPCs in 2010 by both a statute and a statewide constitutional amendment approved by voters.  Programs and implementation of the newfound authority to engage in ESPCs are under development.</t>
  </si>
  <si>
    <t>http://aceee.org/energy-efficiency-sector/state-policy/Georgia/183/all/202</t>
  </si>
  <si>
    <t>Goal to retrofit all city buildings by 2015, with expected energy savings of 12%</t>
  </si>
  <si>
    <t>http://www.sanantonio.gov/oep/SustainabilityPlan/Mission%20Verde.pdf</t>
  </si>
  <si>
    <t>Energy Efficiency Retrofit Program for city buildings</t>
  </si>
  <si>
    <r>
      <t>The city has taken actions to reduce its demand on natural resources by upgrading inefficient lighting, monitoring and adjusting building temperatures, improving HVAC systems, and weatherizing buildings.  The city has set a goal to reduce emissions by 2% each year until 2030.  T</t>
    </r>
    <r>
      <rPr>
        <b/>
        <sz val="9"/>
        <color indexed="8"/>
        <rFont val="Calibri"/>
        <family val="2"/>
      </rPr>
      <t>here is not a policy in place</t>
    </r>
    <r>
      <rPr>
        <sz val="9"/>
        <color indexed="8"/>
        <rFont val="Calibri"/>
        <family val="2"/>
      </rPr>
      <t>; however, we have pursued retrocommissioning (Central Safety Building is an example) and exploring a number of programs and monitoring systems to address energy consumption more systematically.</t>
    </r>
  </si>
  <si>
    <t xml:space="preserve">Retrofitting yes, retrocommisioning no. </t>
  </si>
  <si>
    <t>GSD has completed over $27M in energy
efficiency retrofits to City buildings, indoor pools,
traffic signals, and street lights in an effort to reduce the City’s energy consumption. There is no specific retrofit/retrocommissioning target or strategy in place, but we follow the goals in the Sustainability Plan, such as "Establish green building practices as the standard business practice in El Paso by 2012." and " Reduce energy consumption by 30% by 2014." efficiency retrofits to City buildings, indoor pools, traffic signals, and street lights in an effort to reduce the City’s energy consumption.</t>
  </si>
  <si>
    <t>Yes, Facilities Division handles this.</t>
  </si>
  <si>
    <t>The City has recently hired an engineering firm to complete a comprehensive energy audit of the City-County building, located downtown. The City will use a Department of Energy grant ($3.4 million) to complete the recommended retrofits. The resulting energy savings will be used to fund energy efficiency improvements to other City-owned buildings. Article XIV- Public Buildings, Chapter 490 lists a retrofit plan for the city.</t>
  </si>
  <si>
    <t>Pittsburgh Climate Action Plan v2.0</t>
  </si>
  <si>
    <t>Yes.  The City's Conservation Program acts to regularly retrocommission and retrofit buildings to improve energy efficiency when submitted projects are deemed cost-effective, typically through an Energy Savings Performance Contracting (ESPC) model.  City Facilities Mainteance group staff are currently being trained in building sysdtem re-tuning as part of a US.DOE program to improve the skills and capabilities of this city staff critical to facility energy management.</t>
  </si>
  <si>
    <t xml:space="preserve">EnvironmentLA plan includes goal to perform energy-efficient retrofits on 500 City buildings to continually reduce energy consumption and complete energy efficiency retrofits of all city-owned buildings to meet a 20% or more reduction of energy consumption. </t>
  </si>
  <si>
    <t>http://www.environmentla.org/programs/energy.htm</t>
  </si>
  <si>
    <t xml:space="preserve">The City had a comprehensive energy audit completed of its major facilities in 2010 and has been pursuing retrofits (through performance contracts) for the facilities with the greatest need and opportunity for energy savings. </t>
  </si>
  <si>
    <t>Detroit has invested nearly $10 million in efficiency improvements in 16 city buildings.</t>
  </si>
  <si>
    <t>http://www.mml.org/pdf/resources/greencommunities/2012-MGC_SE_Detroit.pdf</t>
  </si>
  <si>
    <t>Fix-it-first or lifecycle cost policy</t>
  </si>
  <si>
    <t>The Portland Plan's Infrastructure and Contition Report, December 2010, recommends optomizing investment decision making and a focus on resilient infrastructure.  The plan states "Asset management is a tool to identify the most cost-effective way to protect existing assets, provide community services and safeguard public health. The City currently is improving asset management practices, but continued improvement in processing, data management, monitoring and evaluation is needed to ensure that asset management practices accurately inform strategic decision making and effective infrastructure management."  
Procurement Policy: The City shall purchase products and services based on long-term environmental and operating costs, and find ways to include environmental and social costs in short-term prices</t>
  </si>
  <si>
    <t>http://www.portlandonline.com/portlandplan/index.cfm?a=346111&amp;c=51427</t>
  </si>
  <si>
    <t>There is not an omibus policy, but sustainability is a major factor in capital planning. Examples:
- SSIP Urban Watershed Assessment and Planning project will evaluate alternatives that balance the use of grey versus green infrastructure for collection system improvements.
- SFPUC is investing in small hydro, PV, and other projects to expand its renewable energy portfolio.
- All new and renovated city projects must be LEED Gold certified and 15% more energy efficient than Ca Title 24 energy standards.
The SFPUC General Fund program Policies state that cost-effectiveness be based on “all-in” costs and a 15 year payback, using a 9 cent/kWh cost of service as the overall value to the City. Longer periods can be considered if the life of equipment will be longer.</t>
  </si>
  <si>
    <t>The City has a diversity of sustainable infrastructure policies in our Comprehensive Plan including policies about lifecycle cost analysis (Cap Facil Chapter Policy CF-5), fix it first policies (Cap Facil Chapter policy CF-4), focus on transit rich areas (Cap Facil Chapter policy CF-10), etc.</t>
  </si>
  <si>
    <t xml:space="preserve">http://www.seattle.gov/dpd/Planning/Seattle_s_Comprehensive_Plan/ComprehensivePlan/default.asp </t>
  </si>
  <si>
    <t>Yes, the City utilizes an open space impact fee on new private developments to fund public improvements to city parks. The City is currently drafting the Sustainable Urban Infrastructure Guidelines, a formal policy on capital improvements in the public way that would take a lifecycle cost analysis approach to capital budgeting. This document will be in effect in 2013.</t>
  </si>
  <si>
    <t>http://www.cityofchicago.org/content/dam/city/depts/cdot/Construction%20Guidelines/SUIGPpresentation.pdf</t>
  </si>
  <si>
    <t>Yes, the City has sustainable infrastructure policies or practices for capital investments including all three (3) of the examples given. Specific descriptions of how each example is being used are listed below:
• Lifecycle cost analysis is often used to determine whether a lift station is the best option for the City versus the construction of a gravity sewer.
• The water main replacement program is prioritized on age and size of pipe.
• Both water and wastewater main capital budgets for replacement are based on the life cycle of infrastructure – 2% annually for 50 year life.
• The life cycle cost replacement program can be amended/adjusted with the use of maintenance records, for example a pipe that for various reasons requires an inordinate amount of repair – a Fix it First policy. 
• The “worst first” approach is also used in the CIP process manual.
Impact fees are determined based on infrastructure needed for future growth projections.
Also, ReBuild Houston is the City of Houston’s initiative to improve the quality of life and mobility for residents of the city by rebuilding its drainage and street infrastructure. To support the initiative, the city has established a dedicated, pay-as-you-go fund to maintain the infrastructure, and to plan upgrades to meet future needs as the city grows.</t>
  </si>
  <si>
    <t>http://www.rebuildhouston.org/</t>
  </si>
  <si>
    <t xml:space="preserve">Yes, the City utilizes development impact fees and life cycle costing analysis.  </t>
  </si>
  <si>
    <t>The city's Green Building policy calls for building analysis using life cycle costing to determine the best selection of features and components.</t>
  </si>
  <si>
    <t xml:space="preserve">The county works with local energy utilities to reduce energy consumption, including through equipment upgrades and optimization of air handling and other system operations. Several of the water treatment plants generate energy on site from digester gas, and the West Point treatment plant has a combined heat and power system. </t>
  </si>
  <si>
    <t>There are no formal energy efficiency targets at Austin Water, but it is incorporating renewable energy and energy efficiency initiatives into its new water treatment facility, which it plans to be LEED Silver–certified. The Hornsby Biosolids Management Plant receives waste undigested solids from the various wastewater treatment facilities in Austin, anaerobically digests the solids, and produces biogas. The data suggest that the biogas production following the current digester modification activities will average 640,000 cubic feet per day or 26,600 cubic feet per hour.</t>
  </si>
  <si>
    <t>http://www.weat.org/texaswet/wet2011-09.pdf</t>
  </si>
  <si>
    <t>The city’s Water Works are included in the 1.5% annual goal to reduce energy use in city facilities. The regional wastewater utility, MCES, has reduced its purchase of fossil fuel–powered electricity generation by 19% since 2006 through a wide range of energy efficiency projects in the wastewater treatment system, with the bulk of the improvements at the metro plant. MCES is 76% of the way toward meeting its 2015 energy goal of reducing energy purchases by 25%.</t>
  </si>
  <si>
    <t>http://www.metrocouncil.org/Wastewater-Water/Publications-And-Resources/MCES-Annual-Report.aspx</t>
  </si>
  <si>
    <t xml:space="preserve">The Metropolitan Water Reclamation District of Greater Chicago has implemented a sewerthermal heat and cooling system to save energy at its water reclamation plant, where methane is also collected for electricity generation. </t>
  </si>
  <si>
    <t>http://www.civicfed.org/sites/default/files/CivicFederation_MWRDFY2013BudgetAnalysis.pdf</t>
  </si>
  <si>
    <t>The Philadelphia Water Department has a five-year strategic energy plan and is piloting solar, biogas, and sewer-thermal energy technologies. In February 2012, the water department announced an agreement with Ameresco to design, build, and maintain an innovative wastewater biogas-to-energy facility at the Northeast water pollution control plant. The project will use biogas from the wastewater digesters to generate thermal energy and 5.6 MW of electricity for on-site use.</t>
  </si>
  <si>
    <t>Denver Water, the regional water supply authority has implemented several energy efficiency initiatives at its pumping stations. The Metro Wastewater District captures methane gas to provide electricity generation that would power almost 5,000 homes. </t>
  </si>
  <si>
    <t>http://www.metrowastewater.com/know/BenReuse/Pages/whatwedo.aspx</t>
  </si>
  <si>
    <t>The city's Back River wastewater treatment facilities generate 3 MW of renewable energy at a methane gas-to-energy power plant.</t>
  </si>
  <si>
    <t>http://articles.baltimoresun.com/2012-04-24/news/bs-md-co-solar-project-20120424_1_solar-array-solar-energy-solar-industry</t>
  </si>
  <si>
    <t>The city council’s strategic plan calls for energy recapture opportunities in the water and wastewater systems. The Southside wastewater treatment plant has installed a bio-digester that generates approximately 30,000 MW of electricity for the facility, reducing its energy use by 60%.</t>
  </si>
  <si>
    <t>Kevin Lefebvre</t>
  </si>
  <si>
    <t xml:space="preserve">Energy efficiency is incorporated into all new construction and upgrades at Water Services Department facilities. The department’s goal is to reduce energy consumption by a minimum of 5%. The city is currently evaluating digester gas resources for waste-to-energy opportunities. </t>
  </si>
  <si>
    <t>Under the Power to Change initiative, all city facilities, including the Department of Watershed Management facilities are striving to meet a 15% energy reduction by 2020. The RM Clayton wastewater treatment facility’s combined heat and power system converts waste biogas into nearly 13 million kilowatt-hours of useful energy annually.</t>
  </si>
  <si>
    <t>https://www.dropbox.com/s/us46gulf7so0ksg/RM%20Clayton%20Project%20Profile%20%206%2025%2012.pdf</t>
  </si>
  <si>
    <t>SAWS has a 20-year contract with AMERESCO to sell biogas, although it does not use the gas for self-generation. The water system[?] tracks the energy savings from its efficiency initiatives, which include using high-efficiency pumps and motors to distribute water, generating biogas at its treatment facility, and performing lighting upgrades.</t>
  </si>
  <si>
    <t>http://www.saws.org/environment/energymanagement/savings.cfm</t>
  </si>
  <si>
    <t>SRCSD, in partnership with Carson Energy, operates an on-site cogeneration plant at the Sacramento regional wastewater treatment plant in Elk Grove. The cogeneration plant is partly fueled by the biogas produced by the treatment plant’s digesters.</t>
  </si>
  <si>
    <t>In 2012, biogas accounted for 47% of the energy used in wastewater treatment plants in Columbus</t>
  </si>
  <si>
    <t xml:space="preserve">http://utilities.columbus.gov/DocListing.aspx?id=38043 </t>
  </si>
  <si>
    <t xml:space="preserve">The wastewater branch has an energy efficiency program that consists primarily of on-site power generation. Its goal is to be capturing 98% of wastewater treatment gas by 2020. The city currently has a 15.9 MW cogeneration facility. </t>
  </si>
  <si>
    <t>http://www.sandiego.gov/mwwd/environment/energy/index.shtml</t>
  </si>
  <si>
    <t xml:space="preserve">The regional wastewater facility self-generates up to 75% of its energy needs, up to 8 MW daily, from a blend of digester gas, landfill gas, and natural gas. </t>
  </si>
  <si>
    <t>http://www.sanjoseca.gov/ArchiveCenter/ViewFile/Item/1759</t>
  </si>
  <si>
    <t>El Paso Water Utilities will start up three wastewater biogas recovery systems in 2012. The utility is implementing energy management initiatives that reduce energy costs and is investing in equipment that protects critical operations from interruptions in the energy supply.</t>
  </si>
  <si>
    <t>http://www.epwu.org/financial/reports/2011/annual_report.pdf</t>
  </si>
  <si>
    <t>PWSA has a goal to reduce greenhouse gas emissions to 20% below 2003 levels by 2023. It is is upgrading old pump motors to more efficient equipment (and rehabilitating some motors) and installing some new, more efficient pumps. ALCOSAN, the county sewer authority, uses steam generated from incineration of the sludge to heat buildings and to generate electricity.</t>
  </si>
  <si>
    <t>The Fort Worth Water Department participates in the city's energy conservation programs and is currently completing  three phases of the city’s energy savings performance contracts (ESPCs). The ESPC-financed improvements to the city’s water reclamation facility are projected to improve the facility's self-generation from 50 to 70%.</t>
  </si>
  <si>
    <t>The city has a goal to improve energy efficiency at drinking water treatment and distribution facilities, although no specific targets were available. The Los Angeles Bureau of Sanitation operates four treatment and water reclamation plants, two of which generate electricity from captured biogas.</t>
  </si>
  <si>
    <t>http://www.lasewers.org/treatment_plants</t>
  </si>
  <si>
    <t xml:space="preserve">As of August 2011, the Citizens Energy Group assumed responsibility for the water and wastewater utilities. Citizens Energy Group pledged to operate the utilities for community benefit and to create operating efficiencies that would lower costs. Combining the city’s water and wastewater systems with Citizens' natural gas, steam, and chilled water utilities will help to reduce future utility rate increases by 25% from the increases currently projected. </t>
  </si>
  <si>
    <t>Has a goal to reduce energy use to 20% below BAU levels by 2025. On average, the city of Tampa Wastewater Department produces approximately 1.18 million kWh per month by burning the methane gas from the digesters in the cogeneration engines. This supplies 25% of the electricity consumed at the treatment plant.</t>
  </si>
  <si>
    <t>Both of the city’s wastewater treatment facilities supply biogas to the water utility and use it for self-generation.</t>
  </si>
  <si>
    <t>http://www.cityofmemphis.org/Government/PublicWorks/EnvironmentalEngineering/WastewaterTreatmentPlants.aspx</t>
  </si>
  <si>
    <t>No self-generation, but The CSF’s solar panels have a generating capacity of 20 kW and produce an estimated 21,500 kWh per year.</t>
  </si>
  <si>
    <t>http://www.dwsd.org/downloads_n/announcements/in_the_flow/itf_2012/in_the_flow_summer_2012.pdf</t>
  </si>
  <si>
    <t>Policy Step 1: Getting Started</t>
  </si>
  <si>
    <t>Complete streets</t>
  </si>
  <si>
    <t xml:space="preserve">City legislation: Chapter 431, Article VIII, 2012. City legislation: Chapter 431, Article VIII, 2012.  Boston has extensive Complete Streets Design Guidelines which are required to be followed by all city agencies and private developers.  The City has approximately 80 miles of roadways that accommodate pedetrians, bicylces and transit in  comprehensive manner. </t>
  </si>
  <si>
    <t>http://www.bostoncompletestreets.org</t>
  </si>
  <si>
    <t>The City of Portland's Bureau of Transportation (PBOT) has an Active Transportation Program and have and are in the process of updating many local main streets. PBOT also hosts a Complete and Green Main Street Program Policies and actions that support and highlight the importance of complete streets can be found on pages 81-93 of the Portland Plan.</t>
  </si>
  <si>
    <t>http://www.portlandoregon.gov/transportation/59969</t>
  </si>
  <si>
    <t xml:space="preserve">City ordinance: Public Works Code 2.4.13 (Ordinance No. 209-05), 2008, Score 37.2
City legislation: Transit First Policy, 1995, 17.2
San Francisco Better Streets Plan is a unified set of standards, guidelines, and implementation strategies to govern how the City designs, builds, and maintains its pedestrian environment. The Better Streets Plan promotes human needs for the use and enjoyment of public streets. It will prioritize the needs of walking, bicycling, transit use, and the use of streets as public spaces for social interaction and community life, following San Francisco’s General Plan, Transit-First Policy, and Better Streets Policy.
</t>
  </si>
  <si>
    <t>http://www.smartgrowthamerica.org/documents/cs/cs-policyanalysis.pdf</t>
  </si>
  <si>
    <t>City legislation: Ordinance No. 122386, 2007, Score 56.8
The City of Seattle has Complete Streets legislation that requires consideration for pedestrian, bicycle, transit, freight, and green infrastructure in the design and construction of new facilities for all new projects. City legislation: Ordinance No. 122386, 2007.
The City's Bridging the Gap levy also requires that funding be allocated based on this breakdown: 
•Neighborhood Street Fund – first $1.5 million annually
•Maintenance Programs – no less than 67%
•Pedestrian/Bike/Safety Programs – no less than 18%
•Transit &amp; Major Projects – no more than 15%
City tax ordinance: Bridging the Gap, 2006, Score 56.8</t>
  </si>
  <si>
    <t>City resolution: Resolution No. 020418-40, 2002</t>
  </si>
  <si>
    <t>http://www.austintexas.gov/article/working-together-complete-our-streets</t>
  </si>
  <si>
    <t>City internal policy: Washington DC DOT Departmental Order 06-2010 (DDOT Complete Streets Policy), 2010, Score 66.4</t>
  </si>
  <si>
    <t>http://www.smartgrowthamerica.org/documents/cs-2012-policy-analysis.pdf</t>
  </si>
  <si>
    <t>City Internal policy: Safe Streets for Chicago, 2006, Score 39.6 Sustainable Chicago calls for adoption of Complete Streets requirements.</t>
  </si>
  <si>
    <t>Complete Streets Handbook published in 2012. City Legislation: Bill No. 12053201, 2012, Score 46.4 City executive order: Executive Order No. 5-09, 2009, Score 33.2</t>
  </si>
  <si>
    <t>http://philadelphiastreets.com/pdf/CS%20Handbook_2013.pdf</t>
  </si>
  <si>
    <t>City internal policy: Complete Streets Policy, 2011</t>
  </si>
  <si>
    <t>City resolution: Council Bill 09-0433, 2010</t>
  </si>
  <si>
    <t>The City of Dallas kicked-off the Complete Streets Initiative on June 26, 2011; report does not show Dallas listed among complete street cities.  Asked David Cossum for clarification on our Complete Streets Program.  
If this measure is influenced by an external group who may not have rated everyone, it should be removed.  Otherwise, the City should receive 2 points.</t>
  </si>
  <si>
    <t>City policy: Complete Streets Policy, 2011, Score: 40.8</t>
  </si>
  <si>
    <t xml:space="preserve">City ordinance: Ordinance No. 1987-2008, 2008, Score: 15.2
city resolution: Resolution, 2008, Score: 29.2
The City has built 8.1 miles of Complete Street projects since the City passed its Complete Streets Resolution in 2008. The total includes just those projects where the City reconstructed the entire roadway, and does not include retrofit projects where a bike lane or sidewalk was built. </t>
  </si>
  <si>
    <t xml:space="preserve">http://www.smartgrowthamerica.org/documents/cs/cs-policyanalysis.pdf </t>
  </si>
  <si>
    <t>City legislation: Board Bill No. 7, 2010, Score: 52.0</t>
  </si>
  <si>
    <t>City resolution: Resolution No. 09-00274, 2009, Score 24.4</t>
  </si>
  <si>
    <t>City legislation: Chapter 431, Article VIII, 2012, Score 89.6</t>
  </si>
  <si>
    <t xml:space="preserve"> http://www.smartgrowthamerica.org/documents/cs/cs-policyanalysis.pdf</t>
  </si>
  <si>
    <t>City resolution: Resolution N. 2814, 2012, Score 35.6
The Tampa Greenway and Trails Master Plan will increase public access to recreational and non‐motorized transportation opportunities. The system will link parks, schools, transit bus systems, waterfront areas, and places of cultural and historical significance. The master planning process was citizen‐driven and led by members of the Tampa community including local neighborhoods, businesses, community organizations and public agencies. The Plan is consistent with the Hillsborough County Metropolitan Planning Organization commitment to implementing a multi‐modal transportation system that improves bicycle and pedestrian travel.  </t>
  </si>
  <si>
    <t>Car and Bike sharing</t>
  </si>
  <si>
    <t xml:space="preserve">Transportation funding </t>
  </si>
  <si>
    <t>Transit Agencies: Massachusetts Bay Transportation Authority 
Total Funding: $1916049784
Local Government Funding: $314713049</t>
  </si>
  <si>
    <t>http://www.ntdprogram.gov/ntdprogram/data.htm</t>
  </si>
  <si>
    <t>Total Funding: $507,055,648 Local Government Funding: $245,420,528 
The adopted City of Portland budget for FY2012-13 included an allocation of $8,148,928 for streetcar.</t>
  </si>
  <si>
    <t>San Francisco Bay Area Rapid Transit District; Golden Gate Bridge, Highway and Transportation District; San Francisco Bay Area Water Emergency Transportation Authority; Peninsula Corridor Joint Powers Board dba: Caltrain
Total Funding: $2172469189
Local government funding: $882330916</t>
  </si>
  <si>
    <t>Total Funding: $12,500,443,385, Local Government Funding: $221,1695,997</t>
  </si>
  <si>
    <t>Total Funding: $2,095,781,154 Local Government Funding: $951,727,015</t>
  </si>
  <si>
    <t>Regional Transit agency: Capital Metropolitan Transportation Authority 
Funding from Local Governments: $131280716
Total Funding: $181057085</t>
  </si>
  <si>
    <t>Total Funding: $2,762,919,072 Local Government Funding: $915,512,223</t>
  </si>
  <si>
    <t>Transit Agencies: Metro Transit       
Total Funding: $803871485
Local Government Funding: $197231064</t>
  </si>
  <si>
    <t>Chicago Transit Authority, Northeast Illinois Regional Commuter Railroad Corporation dba: Metra Rail                                                    
Total Funding: $2491475023
Local Government Funding: $868122345</t>
  </si>
  <si>
    <t>Total Funding: $1,553,348,919 Local Government Funding: $109,956,567</t>
  </si>
  <si>
    <t>In 2011 the Regional Transportation District spent $381,373,800 on fixed route systems, $45,584,100 on paratransit, $352,842,800 on light rail, and $240,914,800 on commuter rail. The Denver Regional Council of Governments spent $1,924,400 on vanpools. City Funding: $635,816,692</t>
  </si>
  <si>
    <t>Transit Agencies: Maryland Transit Administration
Total Funding: $864791844
Local Government Funding: $0</t>
  </si>
  <si>
    <t>Regional Transit agencies: Metropolitan Transit Authority of Harris County, Texas; Harris County Community Services Department, Office of Transit Services; Harris County Improvement District 1 a.k.a. Uptown-Houston; Greater Southeast Management District
Total Funding: $812,882,071
Funding from Local Governments: $578,187,745</t>
  </si>
  <si>
    <t>Regional Transit agency: Dallas Area Rapid Transit
Funding from Local Governments: $714160806
Total Funding: $1023661679</t>
  </si>
  <si>
    <t>Total Funding: $334,078,790, Local Government Funding: $208,175,775</t>
  </si>
  <si>
    <t>Metropolitan Atlanta Rapid Transit Authority, Georgia Regional Transportation Authority
Total Funding: 647324737
Local Gov. Funding: 365752881</t>
  </si>
  <si>
    <t>Total Funding: $178,398,977 Local Government Funding: $155,317,873</t>
  </si>
  <si>
    <t>Total Funding: $167,553,568, Local Government Funding: $83,727,705</t>
  </si>
  <si>
    <t>Regional Transit agency: Central Ohio Transit Authority
Total Funding: $122,036,638
Funding from Local Governments: $76,985,896</t>
  </si>
  <si>
    <t>Total Funding: $274,227,325, Local Government Funding: $22,263,077</t>
  </si>
  <si>
    <t>Total Funding: $70,545,154 Local Government Funding: $28,402,538</t>
  </si>
  <si>
    <t>Total Funding: $687,371,421 Local Government Funding: $217,052,319</t>
  </si>
  <si>
    <t>Funding from Local Governments: $43351250
Total Funding: $72155446</t>
  </si>
  <si>
    <t>Total Funding: $263,949,986 Local Government Funding: 163,921,773</t>
  </si>
  <si>
    <t>The City has entered into a Better Buildings Challenge Community Partner Agreement with the US.DOE that includes a commitment to encourage local entities to similarly commit resources to improve energy effectiveness at specific facilities 20% by the year 2020. Fort Worth has a Sustainability Task Force and a Sustainable Energy Roundtable.</t>
  </si>
  <si>
    <t>Better Buildings Commitment</t>
  </si>
  <si>
    <t>MiPlan, the City of Miami’s Climate Action Plan, outlines how the City will reduce greenhouse gas emissions to 25% below 2006 levels citywide by 2020. The plan was formally adopted by the City Commission in 2008.</t>
  </si>
  <si>
    <t>MiPlan Climate Action Plan
Resolution 08-01096</t>
  </si>
  <si>
    <t>The city has identified a GHG emissions reduction goal of 35% below 1990 levels by 2030. Downtown Los Angeles is also a 2030 District with a goal to reduce energy use 10% below the national average by 2015. The city is a Better Buildings Challenge Community Partner committed to 20% reduction in community-wide building energy intensity by 2020.</t>
  </si>
  <si>
    <t>GreenLA Climate Action Plan</t>
  </si>
  <si>
    <t xml:space="preserve">Following the state’s adopted GHG reduction target, the City has set a goal to reduce emissions back to 1990 levels by the year 2025. </t>
  </si>
  <si>
    <t>No specific community-wide energy use reduction target has been identified, although the sustainability plan calls for targets to be considered. Privately-run initiative Envision Charlotte has set targets for downtown area.</t>
  </si>
  <si>
    <t>Charlotte's Energy Future</t>
  </si>
  <si>
    <t>The City and County endorsed a community driven goal of creating 800 MW of renewable energy and energy savings through energy efficiency by 2020; however, the Administration has not endorsed the target and is currently in the process of developing a lower target.</t>
  </si>
  <si>
    <t>Sustainable Shelby Implementation Plan</t>
  </si>
  <si>
    <t>No target has been identified, but the city's Green Task Force has developed broad stakeholder working groups.</t>
  </si>
  <si>
    <t>Peformance Management Strategies</t>
  </si>
  <si>
    <t>Efficient Distributed Energy Systems</t>
  </si>
  <si>
    <t>Urban Heat Island Mitigation Policies</t>
  </si>
  <si>
    <t>Policy Step 1: Building Energy Codes</t>
  </si>
  <si>
    <t>Spending on compliance (per $1000 of construction spending)</t>
  </si>
  <si>
    <t>http://www.atlantaga.gov/modules/showdocument.aspx?documentid=5422</t>
  </si>
  <si>
    <t>Bureau of Development Services</t>
  </si>
  <si>
    <t>Department of Building Inspection</t>
  </si>
  <si>
    <t>Buildings Department</t>
  </si>
  <si>
    <t>Dept. of Planning and Development</t>
  </si>
  <si>
    <t>Department of Planning and Review</t>
  </si>
  <si>
    <t>Department of Consumer and Regulatory Affairs</t>
  </si>
  <si>
    <t>Construction Code Services</t>
  </si>
  <si>
    <t>Department of Buildings</t>
  </si>
  <si>
    <t>Licenses and Inspections</t>
  </si>
  <si>
    <t>Dept. of Community Planning and Development</t>
  </si>
  <si>
    <t>Permits &amp; Building Inspections</t>
  </si>
  <si>
    <t>Building Inspection Division</t>
  </si>
  <si>
    <t>Community Development</t>
  </si>
  <si>
    <t>Department of Planning and Community Development, Office of Buildings</t>
  </si>
  <si>
    <t>Development Services Department</t>
  </si>
  <si>
    <t>Community Development - Building</t>
  </si>
  <si>
    <t>Department of Building and Zoning Services</t>
  </si>
  <si>
    <t xml:space="preserve">Development Services </t>
  </si>
  <si>
    <t>Community Development Department / Building and Safety</t>
  </si>
  <si>
    <t>Dept of Planning, Building, and Code Enforcement</t>
  </si>
  <si>
    <t>Public Safety - Building Division</t>
  </si>
  <si>
    <t>Bureau of Building Inspection</t>
  </si>
  <si>
    <t>Building Department</t>
  </si>
  <si>
    <t>Department of Building and Safety</t>
  </si>
  <si>
    <t xml:space="preserve">Department of Code Enforcement </t>
  </si>
  <si>
    <t>Construction Services Department</t>
  </si>
  <si>
    <t>Planning and Development</t>
  </si>
  <si>
    <t>Buildings, Safety Engineering and Environmental Department</t>
  </si>
  <si>
    <t>Planning and Development - Building Inspection Division</t>
  </si>
  <si>
    <t>Policy Step 2: Improving Access to Energy Usage Information</t>
  </si>
  <si>
    <t xml:space="preserve">         Upfront code support</t>
  </si>
  <si>
    <t xml:space="preserve">For 8 years the City provided a high-performance building training series called ReThink. This provided training to professionals and DIY builders around energy efficiency and resource-efficient building practices and materials. The City no longer provides these trainings, as private-sector providers like Earth Advantage now meet the market demand for this. 
Upfront Support for Building Energy Code Compliance
Portland provides education and support to architects and builders in multiple ways, including Bureau of Development Services staff consultation at the Permit Center Counter and code guides for specific energy issues (http://www.portlandonline.com/bds/index.cfm?c=36855). The city also partners with the Energy Trust of Oregon to provide technical assistance for new residential, new commercial and industrial process projects that are permitted by the city. 
</t>
  </si>
  <si>
    <t xml:space="preserve">http://www.earthadvantage.org/education-events/. </t>
  </si>
  <si>
    <t>Yes, Additional Info: Energy Code Support through training. Currently developing aggressive enforcement program to achieve 90% compliance by 2017</t>
  </si>
  <si>
    <t>Applicants of  complex projects are encouraged, but not required, to confer with our energy/mechanical plan review staff before and during the permit application process.  All project applications are reviewed extensively for compliance with energy code.</t>
  </si>
  <si>
    <t>The Austin Energy Green Building Program serves this function.  This group lies within Austin Energy, but creates and maintains their rating system and provides technical assistance to developers and builders of all types to increase the energy efficiency of new buildings in the City of Austin.</t>
  </si>
  <si>
    <t>https://my.austinenergy.com/wps/portal/aegb/aegb/home/!ut/p/c5/04_SB8K8xLLM9MSSzPy8xBz9CP0os3gLAwMDZydDRwP3EG8XA09nywBD55AwYyM_Y6B8pFm8AQ7gaEBAdzjIPjwqDCHyeMz388jPTdUvyI0wyDJxVAQAElUVkA!!/dl3/d3/L2dBISEvZ0FBIS9nQSEh/</t>
  </si>
  <si>
    <t>Yes, the city includes the private sector in code training sessions.  The city also has a Green Preliminary Design Review meetings to go over projects in their early phases to help with energy (and the upcoming green) code compliance.</t>
  </si>
  <si>
    <t xml:space="preserve">Code Enforcement Department hosts a Green Building Resource Center. The Code Enforcement Green Building Resource Center Program Director will offer plan reviews for cost effective Green options. This could lead to energy and water savings that create a healthier living environment and reduce wasted material and save money.  Code Enforcement has also offered numerous classes over the years related to energy efficiency.
The Houston Green Office Challenge staff also provide support and education about energy efficiency to participants. </t>
  </si>
  <si>
    <t>http://www.greenhoustontx.gov/greenbuilding.html</t>
  </si>
  <si>
    <t>Yes, the City holds its San Antonio Building Codes Academy</t>
  </si>
  <si>
    <t>http://www.sanantonio.gov/dsd/training.asp</t>
  </si>
  <si>
    <t>The city offers pre-development and pre-construction conferences</t>
  </si>
  <si>
    <t>http://fortworthtexas.gov/planninganddevelopment/dev.aspx?id=77536</t>
  </si>
  <si>
    <t>Energy audit requirements</t>
  </si>
  <si>
    <t xml:space="preserve">Energy audit; retro-commissioning </t>
  </si>
  <si>
    <t>RECO</t>
  </si>
  <si>
    <t>Energy audit; Energy reduction of high energy consuming multifamily buildings required.</t>
  </si>
  <si>
    <t>Commercial Benchmarking and Disclosure Policies</t>
  </si>
  <si>
    <t xml:space="preserve">PASSED. In Process.  Mayor Menino filed the Building Energy Reporting and Disclosure Ordiance on February 22nd with the Boston City Council.  A vote is expected in April.  The Ordinance will require that all commerical buildings over 25,000 sqft  to disclose their energy and water use through Portfolio Manager to the City of Boston. </t>
  </si>
  <si>
    <t>http://www.cityofboston.gov/Images_Documents/Building%20Energy%20Reporting%20and%20Disclosure%20Ordinance%20Feb2013_tcm3-36303.pdf</t>
  </si>
  <si>
    <t>The Existing Commercial Building Energy Benchmarking Ordinance requires audits and public disclosure of benchmarks for all commercial buildings over 25,000 square feet.</t>
  </si>
  <si>
    <t>http://www.sfenvironment.org/ecb</t>
  </si>
  <si>
    <t> Local Law 87 (LL87) mandates that buildings 50,000 gross square feet or larger undergo periodic energy audit and retro-commissioning measures, as part of the Greener, Greater Buildings Plan (GGBP). GGBP requires annual ENERGY STAR benchmarking and public disclosure for large commercial and multifamily buildings. Ratings must be reported to the city in the spring of 2011 and disclosure begins in 2012. All municipal buildings were benchmarked in 2010.</t>
  </si>
  <si>
    <t>http://www.buildingrating.org/content/us-policy-briefs</t>
  </si>
  <si>
    <t xml:space="preserve">Seattle requires commercial and multifamily buildings to annually ENERGY STAR benchmark and report energy performance data to the city. The building owner  must disclose this information upon request to prospective buyers, tenants, lenders or existing tenants. The law has been phased-in over three years after passage in 2010. Buildings greater than 50,000 square feet were required to report 2011 data while buildings greater than 20,000 square feet are required to report 2012 data by April 1, 2013. </t>
  </si>
  <si>
    <t>Austin requires commercial buildings to obtain ENERGY STAR ratings and disclose ratings to prospective buyers starting in 2012. Policies are part of Austin's Energy Conservation and Audit Disclosure Ordinance (ECAD).</t>
  </si>
  <si>
    <t>The District of Columbia requires annual ENERGY STAR benchmarking and public disclosure via web site  for large commercial and multifamily buildings (&gt;50,000SF). All public buildings have received energy audits and are required to submit annual benchmarking reports. New buildings and major renovations (private sector &gt;50,000SF, all public sector commercial buildings) must be LEED-certified and publish an ENERGY STAR rating based on energy modeling.  Benchmarking scores will be made public one year after they submit.</t>
  </si>
  <si>
    <t>http://www.buildingrating.org/ammap</t>
  </si>
  <si>
    <t>Ch. 47-190 passed in February 2013 and requires benchmarking of commercial buildings greater than 50,000 SF. To be phased in through 2016. Benchmarking statistics will be available to the public.</t>
  </si>
  <si>
    <t>Philadelphia passed a law in 2012 requiring commercial buildings over 50,000 square feet to  disclose Energy Star Portfolio Manager scores to potential buyers and renters. In addition to the buyer and renter provision, Philadelphia's law requires commercial buildings over 50k to annually benchmark building energy and water use and report it to the City, beginning in 2013.  In the second year (2014) these results will be made public by MOS.</t>
  </si>
  <si>
    <t>Residential Benchmarking and Disclosure Policies</t>
  </si>
  <si>
    <t xml:space="preserve">In process.  Mayor Menino filed the Building Energy Reporting and Disclosure Ordiance on February 22nd with the Boston City Council.  A vote is expected in April.  The Ordinance will require that all residential buildings over 25 unit commercial to disclose their energy and water use through Portfolio Manager to the City of Boston. </t>
  </si>
  <si>
    <t xml:space="preserve">The Oregon Dept. of Energy adopted voluntary rules for rating the energy performance of homes and commercial buildings, as established by a state task force authorized under Senate Bill 79. Pending 2011 legislation will require EPS rating of homes and ENERGY STAR for commercial buildings.    </t>
  </si>
  <si>
    <t>Yes, San Francisco has the Residential Energy Conservation Ordinance, requiring a minimum set of retrofits at time-of-sale. Applies to residential properties built before 1978 (when energy codes were enacted.) Measures include ceiling insulation, weatherstripping, showerheads, duct insulation.</t>
  </si>
  <si>
    <t>Multifamily buildings are also subject to the GGBP requirements.</t>
  </si>
  <si>
    <t>Benchmarking law applies to multifamily buildings over 20,000 square feet. Seattle is piloting a home rating program.</t>
  </si>
  <si>
    <t>Austin requires audits of single-family homes prior to a sale and audits of large multifamily buildings by mid-2011. Home audit results must be disclosed to prospective buyers, and multifamily audit results must be posted within the building and may trigger mandatory upgrades. Policies are part of Austin's Energy Conservation and Audit Disclosure Ordinance (ECAD).</t>
  </si>
  <si>
    <t>Benchmarking and disclosure required for large multifamily buildings greater than 50,000SF.</t>
  </si>
  <si>
    <t>Green MLS</t>
  </si>
  <si>
    <t>Yes, Chapter 5-16 of Municipal Code regarding utility cost disclosures. Amendments to improve process in process.</t>
  </si>
  <si>
    <t>http://chicago.legistar.com/LegislationDetail.aspx?ID=1319120&amp;GUID=F5A3E182-5E6C-42CA-B581-CC9C6F06DC63&amp;Options=Advanced&amp;Search</t>
  </si>
  <si>
    <t>The city has no mandatory policies regarding commercial benchmarking, audits, ratings, disclosures or retrofits. However, if a business enrolls in the Denver Energy Challenge, it is required to sign a waiver that allows Xcel to release its utility data to the city in order to track the impact of the program.</t>
  </si>
  <si>
    <t xml:space="preserve">California has a voluntary energy rating program for homes.    </t>
  </si>
  <si>
    <t xml:space="preserve">AB 1103: California requires commercial buildings to obtain and disclose ENERGY STAR ratings to transactional counterparties and the California Energy Commission at the time of a sale, lease or financing for the entire building. The policy phases-in beginning in 2012. The state will explore the use of asset ratings in existing commercial buildings over the next few years.  </t>
  </si>
  <si>
    <t>No local policy beyond State policy</t>
  </si>
  <si>
    <t xml:space="preserve">AB 1103: California requires commercial buildings to obtain and disclose ENERGY STAR ratings to transactional counterparties and the California Energy Commission at the time of a sale, lease or financing for the entire building. The policy phases-in beginning in 2012. The state will explore the use of asset ratings in existing commercial buildings over the next few years.   Benchmarking scope includes buildings at least 5000 SqFt. California has a voluntary energy rating program for homes.   </t>
  </si>
  <si>
    <t>There is still no policy in place, but there are discussions about moving this forward.</t>
  </si>
  <si>
    <t>Policy Step 3: Comprehensive Energy Management Strategy in Buildings</t>
  </si>
  <si>
    <t>Community building energy savings target</t>
  </si>
  <si>
    <t>Better Buildings Community Challenge Partner</t>
  </si>
  <si>
    <t>http://www4.eere.energy.gov/challenge/partners/better-buildings/city-of-boston</t>
  </si>
  <si>
    <t>http://www4.eere.energy.gov/challenge/partners/better-buildings/seattle</t>
  </si>
  <si>
    <t>http://www4.eere.energy.gov/challenge/partners/better-buildings/district-of-columbia</t>
  </si>
  <si>
    <t>http://www4.eere.energy.gov/challenge/partners/better-buildings/chicago</t>
  </si>
  <si>
    <t>http://www4.eere.energy.gov/challenge/partners/better-buildings/atlanta</t>
  </si>
  <si>
    <t>http://www4.eere.energy.gov/challenge/partners/better-buildings/sacramento</t>
  </si>
  <si>
    <t>http://www4.eere.energy.gov/challenge/partners/better-buildings/pittsburgh</t>
  </si>
  <si>
    <t>http://www4.eere.energy.gov/challenge/partners/better-buildings/fort-worth</t>
  </si>
  <si>
    <t>http://www4.eere.energy.gov/challenge/partners/better-buildings/los-angeles</t>
  </si>
  <si>
    <t>Third-party compliance programs</t>
  </si>
  <si>
    <t>Not much need for education.  Architects, Engineers and Contractors have lots of information available and Building Department is focused on processing permits and ensuring compliance</t>
  </si>
  <si>
    <t>YES</t>
  </si>
  <si>
    <t>see IMT study</t>
  </si>
  <si>
    <t>http://www.codegreenhouston.org/</t>
  </si>
  <si>
    <t>Policy Step 4: Incentives for More Efficient Buildings</t>
  </si>
  <si>
    <t>Incentives or finance programs</t>
  </si>
  <si>
    <t>Expedited permitting; height bonus</t>
  </si>
  <si>
    <t>http://www.dsireusa.org/incentives/index.cfm?re=0&amp;ee=0&amp;spv=0&amp;st=0&amp;srp=1&amp;state=MA</t>
  </si>
  <si>
    <t>Plan review assistance (comm); PACE financing (comm); reduced permit fees; loans and grants; on-bill financing (res)</t>
  </si>
  <si>
    <t>Expedited permitting (res and comm); PACE financing (res and comm)</t>
  </si>
  <si>
    <t>http://www.sfdbi.org/index.aspx?page=268</t>
  </si>
  <si>
    <t>Loans, financing, energy service agreements (comm)</t>
  </si>
  <si>
    <t>http://www.nyc.gov/html/gbee/html/plan/ll87.shtml</t>
  </si>
  <si>
    <t>Expedited permitting; density bonuses; land use departures (res and comm)</t>
  </si>
  <si>
    <t>Density bonus (res and comm)</t>
  </si>
  <si>
    <t>http://www.muelleraustin.com/uploads/mgrg.pdf</t>
  </si>
  <si>
    <t>Connect Atlanta is the city’s first-ever comprehensive transportation plan which incorporates expanded MARTA, light rail, BRT, and expanded HOV and express bus systems
1. Power to Change Target:  Double Bike Lanes by 2016. (2012 baseline)
4. Power to Change Target:  Increase employee commute miles 25% by 2017 (2012 baseline)</t>
  </si>
  <si>
    <t>http://sgnarc.ncat.org/engine/index.php/resources/2005/10/03/smart-growth-in-action-georgia-quality-growth-program</t>
  </si>
  <si>
    <t>The City's vision report SA2020 sets a goal of a 10% per capita reduction in VMT by 2020.  It also calls for a tripling of transit ridership and miles of complete streets, increasing walkable neighborhoods and increasing the Walk Score by 20%.  The details of exactly how these parameters are to measured are being worked on by various groups.  Growth boundaries are prohibited by State law.  Yes, planning regularly addresses intermodal connections.</t>
  </si>
  <si>
    <t xml:space="preserve"> http://www.sa2020.org/wp-content/themes/sa2020/pdf/SA2020_Final_Report.pdf </t>
  </si>
  <si>
    <t>City-wide VMT target: Decrease vehicle miles traveled 15% by 2015 based on  the 2009 baseline.</t>
  </si>
  <si>
    <t>Access to transit services</t>
  </si>
  <si>
    <t xml:space="preserve">City Transit Connectivity Index: 244308.52
Based on calculations made in 2001, approximately 57% of the city's population and 79% of its employment are within a 10 minute walk to a transit station on the subway and commuter rail system (see Access Boston report) </t>
  </si>
  <si>
    <t>http://www.cityofboston.gov/TRANSPORTATION/accessboston/</t>
  </si>
  <si>
    <t>TriMet provides monthly and yearly ridership data</t>
  </si>
  <si>
    <t>http://trimet.org/pdfs/publications/trimetridership.pdf</t>
  </si>
  <si>
    <t>City Transit Connectivity Index: 211,105.81</t>
  </si>
  <si>
    <t>http://htaindex.cnt.org/</t>
  </si>
  <si>
    <t>City Transit Connectivity Index: 131,548, MSA Transit Connectivity Index: 65,273.89</t>
  </si>
  <si>
    <t xml:space="preserve">The City's Transit Master Plan identifies key High Capacity Transit corridors as priority locations for investments. </t>
  </si>
  <si>
    <t>http://www.seattle.gov/transportation/transitmasterplan.htm</t>
  </si>
  <si>
    <t>City Transit Connectivity Index:  12136.45</t>
  </si>
  <si>
    <t>CTC Index: 84,736 MSA TC Index: 19,146</t>
  </si>
  <si>
    <t>CTC Index: 84,743 MSA TC Index: 17,869</t>
  </si>
  <si>
    <t>City Transit Connectivity Index: 75708.26 MSA TC Index: 26,850</t>
  </si>
  <si>
    <t>CTC Index: 214,709.17, MAS TC Index: 63,494.01</t>
  </si>
  <si>
    <t>City Transit Connectivity Index: 24796.35, MSA TC Index: 9,990.22</t>
  </si>
  <si>
    <t>City Transit Connectivity Index: 49649.19, MSA T Index: 14,016</t>
  </si>
  <si>
    <t>METRO has done significant demographic analysis which indicated 62 percent of the population in Harris County live within ½ mile to METRO’s transit routes/services. 
City Transit Connectivity Index:  13286.34</t>
  </si>
  <si>
    <t>City Transit Connectivity Index:  15290.2, MSA TC Index: 4,401.00</t>
  </si>
  <si>
    <t>CTC Index: 7,303.79, MSA TC Index: 4,438.23</t>
  </si>
  <si>
    <t>CTC Index: 20,264, MSA TC Index: 3,726.65</t>
  </si>
  <si>
    <t>CTC Index: 20,076.58, MSA TC Index: 14,521.4</t>
  </si>
  <si>
    <t>CTC Index: 16,452.6 MSA TC Index: 6,554.57</t>
  </si>
  <si>
    <t xml:space="preserve">City Transit Connectivity Index:  8562.89
COTA has  increased service by about 45% since 2006, and will have a total increase of 80% by 2017. </t>
  </si>
  <si>
    <t>CTC Index: 85.48, MSA TC Index: 1,357.59</t>
  </si>
  <si>
    <t>CTC Index: 9,757.61, MSA TC Index: 2,581.94</t>
  </si>
  <si>
    <t>CTC Index: 12,531.09, MSA TC Index: 9,270.8</t>
  </si>
  <si>
    <t>CTC Index: 44,038.41, MSA TC Index: 10,060.36</t>
  </si>
  <si>
    <t>CTC Index: 54,457.45, MSA TC Index: 11,137.25</t>
  </si>
  <si>
    <t>CTC Index: 2,507.65, MSA TC Index: 4,401</t>
  </si>
  <si>
    <t>CTC Index: 34,823.97, MSA TC Index: 8,640.9</t>
  </si>
  <si>
    <t>CTC Index: 28,781.06, MSA TC Index: 15,414.78</t>
  </si>
  <si>
    <t>CTC Index: 19,990.57, MSA TC Index: 5,893.94</t>
  </si>
  <si>
    <t>CTC Index: 21,151.58, MSA TC Index: 8,322.31</t>
  </si>
  <si>
    <t>CTC Index: 5,833.38, MSA TC Index: 3,164.62</t>
  </si>
  <si>
    <t>CTC Index: 37,153.78, MSA TC Index: 8</t>
  </si>
  <si>
    <t>CTC Index: 3,545.62, MAS TC Index: 2,425.64</t>
  </si>
  <si>
    <t>Efficient vehicle behavior</t>
  </si>
  <si>
    <t xml:space="preserve">City idling restrictions - New York City Administrative Code Title 24-163. </t>
  </si>
  <si>
    <t>http://public.leginfo.state.ny.us/menuf.cgi</t>
  </si>
  <si>
    <t xml:space="preserve">In collaboration with the City’s Fleets and Facilities Department and Seattle Public Utilities, the City is promoting the use of bio-lubricants in City vehicles, and researching how to use biodiesel oil in City landscaping equipment.  The Green Purchasing Team is also supporting the Fleets and Facilities Department to adopt an increased bio-diesel mix. City Purchasing implemented vehicle anti-idling requirements in City contracts, requiring the City vendors and contractors to adopt anti-idling practices to reduce green-house gas emissions. The Revenue and Consumer Affairs Division amended the City’s administrative rules to allow smaller taxicab vehicles to operate in Seattle. </t>
  </si>
  <si>
    <t>Yes, we have an anti-idling ordinance and program</t>
  </si>
  <si>
    <t>http://data.capcog.org/air-quality/engineoff/eo/EngineOff.html</t>
  </si>
  <si>
    <t xml:space="preserve">Idling restriction: District of Columbia Municipal Regulations Title 20, §900.1  </t>
  </si>
  <si>
    <t>http://ddoe.dc.gov/sites/default/files/dc/sites/ddoe/publication/attachments/chapter9revised.pdf</t>
  </si>
  <si>
    <t xml:space="preserve">City idling restrictions: City of Minneapolis Code of Ordinances, Title 3, Ch. 58.  </t>
  </si>
  <si>
    <t>http://www.minneapolismn.gov/www/groups/public/@regservices/documents/webcontent/convert_283965.pdf</t>
  </si>
  <si>
    <t>City idling restrictions: Chicago Municipal Code §9-80-095</t>
  </si>
  <si>
    <t>http://www.cityofchicago.org/content/dam/city/depts/doe/general/ESB_PDFs/StandingLimitOrdinanceAsPassed.pdf</t>
  </si>
  <si>
    <t>Idle Reduction Requirement - Philadelphia, PA - Idling of any heavy-duty diesel motor vehicle for more than two minutes is prohibited in the City of Philadelphia. Exceptions apply when the ambient temperature is 32 degrees Fahrenheit or below or when the ambient temperature is equal to or greater than 75 degrees Fahrenheit and the heavy-duty vehicle is a bus equipped with air conditioning and non-operable windows. For more information, see the City of Philadelphia Air Management Regulation IX (PDF): http://www.phila.gov/health/pdfs/air/REG9.pdf</t>
  </si>
  <si>
    <t>http://www.atri-online.org/research/idling/ATRI_Idling_Compendium.pdf</t>
  </si>
  <si>
    <t>Idle Reduction Requirement - Denver, CO - Idling of any vehicle for more than five minutes in any one-hour period is prohibited within the city and county of Denver. This prohibition does not apply when ambient outside air temperatures have been less than 20 degrees Fahrenheit for the previous 24 hours or when the current ambient outside air temperature is less than 10 degrees Fahrenheit. Emergency vehicles, vehicles engaged in traffic operations, vehicles being serviced, vehicles that must idle to operate auxiliary equipment, and vehicles that are idling due to traffic congestion are also exempt.</t>
  </si>
  <si>
    <t>http://www.afdc.energy.gov/laws/local/</t>
  </si>
  <si>
    <t>Publically, only anti-idling ordinance at this time.  Outreach and education, along with regional partnerships, work to encourage efficient vehicle usage.</t>
  </si>
  <si>
    <t>Idle Reduction Requirement - Atlanta, GA - The City of Atlanta prohibits the idling of a truck or bus for more than 15 minutes on any street or public place. Exceptions include emergency vehicles, utility company, construction, maintenance vehicles that require the engines to run to perform needed work, or vehicles that are forced to remain motionless because of traffic conditions. If the ambient temperature is less than 32 degrees Fahrenheit, idling is limited to a maximum of 25 minutes. Any vehicle that uses electricity or compressed natural gas as its primary fuel source is exempt from idling limitations. For more information, see the Atlanta Code of Ordinances (Section 150-97(c))</t>
  </si>
  <si>
    <t>http://library.municode.com/index.aspx?clientId=10376&amp;stateId=10&amp;stateName=Georgia</t>
  </si>
  <si>
    <t>Idling restriction: Sacramento City Code, Title 8, Ch. 8.116:</t>
  </si>
  <si>
    <t>http://www.arb.ca.gov/msprog/truck-idling/2485.pdf</t>
  </si>
  <si>
    <t>CMAP strategy (in progress) includes  re-timing traffic signals and installing roundabouts to decrease the duration of vehicle idling in order to conserve fuel and the resultant emissions.</t>
  </si>
  <si>
    <t>http://ssi.ucsd.edu/scc/images/San_Diego_Climate_Plan_draft_8_12.pdf</t>
  </si>
  <si>
    <t xml:space="preserve">City idling restrictions - St. Louis City Ordinance 68137. </t>
  </si>
  <si>
    <t>http://www.slpl.lib.mo.us/cco/ords/data/ord8137.htm</t>
  </si>
  <si>
    <t>The City's Knozone Program encourages anti-idling. To date, 63 businesses have committed to implementing a vehicle idle reduction policy and 52 businesses display "No Idling" signs provided by the City through the Central Indiana Clean Air Partnership (CICAP). Many other schools and businesses display signs through previous Clean Cities and Knozone projects</t>
  </si>
  <si>
    <t>Intermodal freight facilities (for proper analysis, see "Transportation Data and Scores 7 23 13"</t>
  </si>
  <si>
    <t>http://www.rita.dot.gov/bts/data_and_statistics/by_region/state_and_local/index.html</t>
  </si>
  <si>
    <t>http://faf.ornl.gov/fafweb/Extraction1.aspx</t>
  </si>
  <si>
    <t>Policy Step 4: Incentives</t>
  </si>
  <si>
    <t>Incentives to Encourage Creation of Mixed-Use Communities</t>
  </si>
  <si>
    <t xml:space="preserve">The City works hand-in-hand with Transportation Management Associations that provide membership benefits to financial district and  medical and education institution employers which include transit pass subsidies, vanpools and shared shuttle services. (see MASCO and ABC TMAs) </t>
  </si>
  <si>
    <t xml:space="preserve">Demand Management Programs 
Portland partners with the State of Oregon to implement the state Employee Commute Options requirement, under which all Portland-area employers with more than 100 employees must provide options to reduce commuting by vehicle. See  Portland has also helped establish and fund transportation demand management associations. </t>
  </si>
  <si>
    <t>http://www.deq.state.or.us/nwr/eco/resources.htm</t>
  </si>
  <si>
    <t xml:space="preserve">San Francisco has a robust transportation demand management program administered by several agencies, including SFCTA, SFMTA, Planning and SF Environment.  Policies include transportation mitigation strategies for new or renovated developments, parking and congestion pricing strategies and management, and incentive programs. SF Environment administers the Commuter Benefits Ordinance requiring all businesses with a location in San Francisco and 20 or more employees nationwide to provide a commuter benefit.  To support employee commute choices SF Environment also provides the Emergency Ride Home program, ridesharing assistance, school-based ridesharing assistance and car sharing information.  </t>
  </si>
  <si>
    <t>http://www.nctr.usf.edu/clearinghouse/stateincentives.htm</t>
  </si>
  <si>
    <t>Yes, Additional Info: HOV</t>
  </si>
  <si>
    <t>http://www.nyc.gov/html/dot/html/motorist/carpool.shtml</t>
  </si>
  <si>
    <t xml:space="preserve">The City of Seattle has a Commute Trip Reduction plan and provides TDM support to employers with 100 or more employees within Seattle. The City of Seattle also supports the work of Commute Seattle in delivering TDM programming to all employers within the Center City area. Through Transportation Management Plans, the City requires multimodal transportation facilities and programs for institutions and large buildings as a part of the development process. </t>
  </si>
  <si>
    <t>TDM programs are run through the Minneapolis Downtown TMO, which Minneapolis partially funds.  This provides programs to Minneapolis workers</t>
  </si>
  <si>
    <t>http://www.commuter-connection.org/</t>
  </si>
  <si>
    <t xml:space="preserve"> Denver does offer Ecopasses to city employees, has been a strong supporter of HOV lane projects within the city on I-25, and has worked with the Downtown Denver Partnership and the Stapleton TMA and the Transportation Solutions TMA in Cherry Creek to develop very  vigorous TDM programs in those areas, including major Ecopass programs in downtown and Stapleton. They should not get a full 2 points (there efforts are nowhere near as vigorous as Boulder’s, for comparison),but  I do think they should get 1 point.</t>
  </si>
  <si>
    <t>Will Toor</t>
  </si>
  <si>
    <t xml:space="preserve">The City provides a number of commuter services as an incentive for residents/workers who use alternative modes of transportation under the iRide Baltimore program. These services include Rideshare, Guaranteed Ride Home and Vanpool. In addition to commuter incentives the City also conducts employer outreach to educate local businesses about employee transportation tax credits. </t>
  </si>
  <si>
    <t>Flex in the City is a program implemented by the City of Houston to encourage employers to try alternative scheduling options such as compressed work weeks, telecommuting to work, and flexible start and end times, eliminating their employees’ rush-hour commutes on Houston’s roads.</t>
  </si>
  <si>
    <t>provides a corporate rate discount to staff for transit passes, and has a web-based commute tracking program that is integrated into City Management review; therefore, should receive</t>
  </si>
  <si>
    <t>The City of Atlanta provides commuter incentives to employees by offering public transit passes at a 50% discounted rate.
The City of Atlanta also partners with Clean Air Campaign to provide incentives/education/resources for all residents in the Atlanta Metro area.  
The Clean Air Campaign runs the GA Commute Options Program which offers services to commters and employers.  These services make it easier to switch from driving alone to one of many commute options such as: carpool, vanpool, transit, telework (work from home), bicycle and walk. Through this program, commuters can log their commute to win rewards. If a Metro Atlanta resident is already carpooling, vanpooling, riding transit, teleworking, doing a compressed workweek, bicycling or walking to work, they can be entered to win $25 gift cards each month. Each time a commuter logs a clean commute trip (carpool, vanpool, transit, telework, bike, walk, compressed work week), they're entered to win a $25 gift card in a random monthly drawing. So, for example, if someone carpooled 20 times, that person is 20 times more likely to win than someone who carpools once.</t>
  </si>
  <si>
    <t>http://www.gacommuteoptions.com/</t>
  </si>
  <si>
    <t>Yes, we just launched iCarpool, which is an online ridematching service that is available to everyone in El Paso.</t>
  </si>
  <si>
    <t>http://elpaso.icarpool.com</t>
  </si>
  <si>
    <t xml:space="preserve">Vehicle purchase incentives </t>
  </si>
  <si>
    <t xml:space="preserve">State incentives (3), private incentives (2), state laws (4): </t>
  </si>
  <si>
    <t>http://www.afdc.energy.gov/laws/laws/DC</t>
  </si>
  <si>
    <t>Vehicle Purchase Incentives - Riverside, CA - City of Riverside residents and employees are eligible to receive a rebate toward the purchase of a new qualified plug-in electric vehicle (PEV), compressed natural gas (CNG) vehicle, or hybrid electric vehicle (HEV) purchased from a City of Riverside automobile dealership. The rebate is worth up to $2,500 for a qualified PEV or $1,500 for a qualified CNG vehicle or HEV. For more information about the resident rebate program, visit the Alternative Fuel Vehicle Rebate Program website: http://www.riversideca.gov/air/alternativefuel.asp.  For more information on the employee rebate program, contact Kevin Street (951-351-6140) at the City of Riverside Public Works Administration.</t>
  </si>
  <si>
    <t xml:space="preserve">Vehicle charging infrastructure incentives </t>
  </si>
  <si>
    <t>Transportation Acess Plan Agreements requires  adding EV charging in 5% of parking in new buildings (commercial &amp; residential)</t>
  </si>
  <si>
    <t>Portland City Council adopted an EV strategy, the "Electric Vehicles: The Portland Way," detailing policies and programs to accelerate the spread of electric vehicles. This helps carry out the Climate Action Plan action to accelerate the transition to plug-in hybrids and electric vehicles by supporting the installation of a network of charging stations. 
The City has clear policies for the installation of EV charging stations for both commercial and private use, inlcuding policies related to the installation of the charing stations in the public right-of-way and clear permitting guidelines and processes. The City of Portland has a website dedicated to accelerating the adoption of Electric Vehicles: www.chargeportland.com, which includes information on permitting, economic development efforts and the City's EV strategy, "EVs the Portland Way." n a permit instantly online and the installation inspected within 24 to 48 hours.</t>
  </si>
  <si>
    <t>City has allocated about $1.5 million in the last 6 months to residential energy efficiency at part of Retrofit Chicago Residential Partnership</t>
  </si>
  <si>
    <t>The Office of Strategic Partnerships allocates $2 million annually from Denver's Xcel franchise agreement towards single family, multi-family and nonprofit low-income weatherization services. Additionally, the Denver Energy Challenge expended over $3 million in 2012 on residential and commercial energy efficiency programs and services, including energy advising, rebates, tune up programs, direct install of lighting, low-interest loan program, and workforce development and QA.</t>
  </si>
  <si>
    <t>The City is also working with CenterPoint Energy to use their funding to continue the City's Residential Energy Efficiency Program.  CenterPoint has committed $3 million for the City’s REEP program, and another $2 million to offset costs of the City’s municipal energy efficiency program in 2013 (retrofitting the City’s libraries).</t>
  </si>
  <si>
    <t>http://houstongoc.org/sites/default/files/u10/CenterPoint%20-%20Reducing%20Energy%20Use%20%26%20Purchasing%20Renewables.pdf</t>
  </si>
  <si>
    <t xml:space="preserve">Energize Phoenix Program is a partnership with APS (electric utility) for marketing and leveraging energy efficiency incentives funding. The city of Phoenix Weatherization Assistance Program is made up of several funding sources.  All activities performed are residential energy efficiency measure to low income housing.  </t>
  </si>
  <si>
    <t>Yes, the City has partnered with CPS Energy to implement the CPS Energy Savers Program</t>
  </si>
  <si>
    <t>http://www.sanantonio.gov/Sustainability/BuildingsAndCommunities/BetterBuildings.aspx</t>
  </si>
  <si>
    <t>The Efficiency $mart Business Energy Rebate Program - offers commercial and industrial businesses financial rebates for the implementation of improvements and technologies that reduce energy usage. Rebates and incentives paid to Columbus Municipal Power customers through 2012 total $117,700.  Lifetime savings total 32,855 MWh and $223,293.</t>
  </si>
  <si>
    <t>Yes, via the CPUC and the Local Government Partnership via SDGE.</t>
  </si>
  <si>
    <t xml:space="preserve">Yes, greenriverside.com and multiple other examplesRiverside Public Utilities finalized partnership agreement with So. Cal. Gas to create a more robust low-income weatherization program. </t>
  </si>
  <si>
    <t>http://www.greenriverside.com/userfiles/Green_Action_Plan-2012.pdf</t>
  </si>
  <si>
    <t>The Silicon Valley Energy Watch (SVEW), the City’s partnership with PG&amp;E serving all of Santa Clara County with energy efficiency service coordination, outreach, and training.</t>
  </si>
  <si>
    <t>http://www3.sanjoseca.gov/clerk/CommitteeAgenda/TE/20120305/TE20120305_d6.PDF</t>
  </si>
  <si>
    <t xml:space="preserve">Yes with the Green Business Challence we provide workshops and EP Electric has sponsored and hosted a few workshops. We also have other outreach campaigns that educate the community and businesses. Our social media outlets also promote the incentives and rebates they offer. </t>
  </si>
  <si>
    <t>Water efficiency</t>
  </si>
  <si>
    <t>The city offers free water-efficiency kits that include kitchen and bathroom faucet aerators, a low-flow replacement showerhead, a water-efficiency gauge to test showerheads and sinks, and dye tablets to check for toilet leaks.</t>
  </si>
  <si>
    <t>http://www.bwsc.org/COMMUNITY/Conservation/kits.asp</t>
  </si>
  <si>
    <t xml:space="preserve">Offers free water efficiency kit to customers;  multifamily toilet replacement program; Business Industry and Government (BIG) program offers technical assistance. The current annual budget is $800,000. </t>
  </si>
  <si>
    <t>http://www.portlandoregon.gov/water/article/270585</t>
  </si>
  <si>
    <t>The city has a goal of saving 4 million gallons of water per day (1,500 million gallons per year) through conservation, by 2018. The city has updated codes requiring water-efficient fixtures/systems such as toilets, irrigation systems, and shower heads. The city offers rebates for high-efficiency washers and low-flow toilets. The city’s water conservation program was expanded to offer custom rebates based on projected savings as well as fixed rebates for common measures, similar to its energy efficiency programs.</t>
  </si>
  <si>
    <t>http://www.sfwater.org/index.aspx?page=136</t>
  </si>
  <si>
    <t>The city funds the installation of automatic meter reading for all customers to help detect leaks and the replacement of old and inefficient toilets in government buildings. The Water Board offers rate reductions for buildings that recycle a large portion of their water supply.</t>
  </si>
  <si>
    <t>Seattle Public Utilities offers, through the Saving Water Partnership, educational resources, leak-detection kits, and rebates for high-efficiency toilets and irrigation systems. The city’s? 2013 Water System Plan sets a goal to reduce total average annual retail water use to less than 105 mgd by 2018 from around 119 mgd in 2013. Rebates are provided to residential, commercial, and industrial customers, including for toilets, appliances, and irrigation systems.</t>
  </si>
  <si>
    <t>http://www.savingwater.org/docs/2012_Annual_Report.pdf</t>
  </si>
  <si>
    <t>In May 2010,  the city council adopted a goal of reducing total water use to 140 gallons per capita per day by the year 2020. The eity offers rebates for WaterWise landscaping, rainwater harvesting, free shower heads, and other products and actions.</t>
  </si>
  <si>
    <t>http://www.austintexas.gov/department/water-conservation</t>
  </si>
  <si>
    <t>City goal: By 2032, decrease total water use by 40%</t>
  </si>
  <si>
    <t>Sustainable DC Report</t>
  </si>
  <si>
    <t>Water use is included in city-run energy programs. For example, the Center for Energy and Environment’s Home Energy Squad Program, which the city partially funds, includes a water conservation component (replacing shower and sink aerators).</t>
  </si>
  <si>
    <t>The city has a goal decrease water use by 2% annually. The city provides incentives for the installation of water meters through its MeterSave program, and offers rain barrels, indoor, and outdoor conservation kits to homeowners.</t>
  </si>
  <si>
    <t xml:space="preserve">The Water Department runs the Water Conservation Assistance Program, which is designed to help low-income water customers reduce water waste through repairs to plumbing and installation of water conservation devices. </t>
  </si>
  <si>
    <t xml:space="preserve">As part of the city’s 2020 goals, city buildings must reduce water use by 15% by 2020. City parks must reduce water use to an average of 18 gallons per square foot. 
Denver Water’s conservation plan aims to accelerate the pace of water conservation in its service area and reduce overall water use from pre-drought usage (2001) by 22% per capita by 2016. Denver Water provides rebates for water-efficient toilets and appliances, and has incentive programs for indoor and outdoor water-savings projects. 
</t>
  </si>
  <si>
    <t>http://denverwater.org/Conservation/IncentivePrograms/</t>
  </si>
  <si>
    <t>The city has a water conservation target of reducing unaccounted water use by 10% by 2020. The city has committed both labor and resources (with a budget close to $500,000 in 2013) in support of its Waterworks Education Center, which currently serves as an education center for water-related efforts in the community. The city recently established a water conservation task force to develop conservation goals and best practices for the city.</t>
  </si>
  <si>
    <t>http://www.houstontx.gov/mayor/press/20120713.html</t>
  </si>
  <si>
    <t>The city’s 2010 Water Conservation Strategic Plan Update calls for reductions in gallons used per capita by an average of 1.5% per year through 2015. The city has watering restrictions and offers programs including the New Throne for your Home program, irrigation system checks, rebate programs, and support for? minor plumbing repairs.</t>
  </si>
  <si>
    <t>http://savedallaswater.com/rebates-and-incentives/</t>
  </si>
  <si>
    <t>The Office of Water Efficiency makes Water Saver Kits available to its water customers. Each kit contains a 1.5-gallon-per-minute low-flow showerhead, a 1.5-gallon-per-minute kitchen faucet aerator, two 1 gallon-per-minute bathroom sink aerators, and toilet-leak-detection tablets. The city also offers rebates for high-efficiency toilets for residential and multifamily units.</t>
  </si>
  <si>
    <t>http://www.atlantawatershed.org/conservation/</t>
  </si>
  <si>
    <t>The city has a goal to reduce water usage to 116 gallons per person per day by 2020 (from 124 gallons per person in 2009) and to use 16,500 ac-ft. of water overall? per year by 2020. The city offers WaterSaver rebates, free high-efficiency toilets and fixtures, large-scale retrofit rebates for water system upgrades, irrigation design rebates, and drought restrictions.</t>
  </si>
  <si>
    <t>http://www.saws.org/conservation/</t>
  </si>
  <si>
    <t>The city provides rebates for water-efficient toilets and clothes washers, and employs? Water Wise conservation specialists to identify home and business water savings opportunities.</t>
  </si>
  <si>
    <t>http://www.cityofsacramento.org/utilities/water/water-meters.cfm</t>
  </si>
  <si>
    <t>The city funds a cost share program for rain barrels.</t>
  </si>
  <si>
    <t>http://stormwater.franklinswcd.org/</t>
  </si>
  <si>
    <t>A water savings target was proposed in the update to the city’s 2012 Climate Mitigation and Adaptation Plan but was not included in the final version. The city’s budget for water efficiency programs is $780 ? for 2013.</t>
  </si>
  <si>
    <t>http://www.sandiego.gov/water/conservation/index.shtml</t>
  </si>
  <si>
    <t>The city has a goal to reduce its per-capita potable water usage by 20% by 2020. In 2008, the city approved the Riverside Recycle Water Project, which will use highly treated wastewater rather than high-quality potable water to serve the agricultural and irrigation needs throughout the city. The city offers rebates for water-efficient appliances (clothes washers, toilets, artificial turf, etc.). Free sprinkler nozzles.</t>
  </si>
  <si>
    <t>http://www.greenriverside.com/Green-Rebate-Programs-7/Residential/Water_Efficiency-113</t>
  </si>
  <si>
    <t xml:space="preserve">The city implements water conservation through a cost-sharing agreement with the Santa Clara Valley Water District, which has a target to save 70,500 acre-feet of water by 2030 for programs such as incentives for water-efficient retrofits and by conducting outreach. The San Jose Municipal Water System offers free water fixtures for its San Jose customers, including showerheads and kitchen and bathroom faucet aerators. </t>
  </si>
  <si>
    <t>The city has a goal of reducing per-capita daily consumption to 130 gallons per person per day by 2020. The city uses reclaimed water and gives away water-efficient shower heads.</t>
  </si>
  <si>
    <t xml:space="preserve">http://www.epwu.org/financial/reports/2011/annual_report.pdf </t>
  </si>
  <si>
    <t>Yes 10% by 2018</t>
  </si>
  <si>
    <t>PWSA supports two full-time leak detection crews that employ electronic correlators and acoustic sound sensors to pinpoint leaks on both utility- and customer-owned water lines.</t>
  </si>
  <si>
    <t xml:space="preserve">The city’s goals are based on the recommendations of the Texas Water Conservation Implementation Task Force, which suggested a 1% reduction in gallons of water used per capita per day per year. The city has a SmartFlush program to replace residential toilets with high-efficiency toilets and has time-of-day watering restrictions. </t>
  </si>
  <si>
    <t>http://fortworthtexas.gov/uploadedFiles/Water/Save_FW_water/FinalWCP09.pdf</t>
  </si>
  <si>
    <t>In 2006, the Miami-Dade County Board of County Commissioners adopted the Miami-Dade Water-Use Efficiency Plan through resolution r-468-06. Their goal is to reduce water consumption by 1.5 million gallons per day by 2015 from a 2007 baseline. As a part of the implementation, the plan administers a variety of customer programs including rebates and free water-saving measures including shower heads, toilets, and landscape irrigation.</t>
  </si>
  <si>
    <t>The city has a goal to reduce per-capita water consumption by 20% [by when, compared to what baseline?]. LADWP offers a number of free water conservation devices to consumers. Its Landscape Incentive Program was launched in 2009 and pays consumers to replace turf grass with drought-tolerant plants or mulch.</t>
  </si>
  <si>
    <t>https://www.ladwp.com/ladwp/faces/ladwp/aboutus/a-water/a-w-conservation/a-w-c-rebatesandfreeitems?_adf.ctrl-state=os11pz9c5_38&amp;_afrLoop=677968216853000</t>
  </si>
  <si>
    <t>The city has a year-round restriction on water use for all water sources except reclaimed water (including but not limited to public, private, well, pond, and lake water, and harvested rainwater) inside the city limits under Tampa Code Sec. 26-97 and Chapter 40D-22, F.A.C. The city also offers plumbing retrofits, rain barrel workshops, and rebate programs.</t>
  </si>
  <si>
    <t>The city’s WaterSmart program encourages the efficient use of water for indoor and outdoor purposes and offers consumer low-flow plumbing devices, smart irrigation controls, and other products.</t>
  </si>
  <si>
    <t>http://charmeck.org/city/charlotte/Utilities/WaterSmart/Pages/home.aspx</t>
  </si>
  <si>
    <t>The JEA runs the LawnSmart program to help homeowners to program their irrigation controllers.</t>
  </si>
  <si>
    <t>https://www.jea.com/Manage_My_Account/Ways_to_Save/Efficiency_Evaluations/LawnSmart.aspx</t>
  </si>
  <si>
    <t>Efficient Stormwater Management (Public Funding)</t>
  </si>
  <si>
    <t>Energy efficiency in water services</t>
  </si>
  <si>
    <t>MWRA, Boston's regional water authority has completed energy audits at 28 of its 36 major facilities. Implementation of audit recommendations and other process optimization efforts is estimated to save almost $2 million annually. The system produces approximately 33 million kWh/yr from methane capture at the Deer Island wastewater treatment plant.</t>
  </si>
  <si>
    <t>http://aceee.org/w-e-program/mwra-long-term-sustainability-program</t>
  </si>
  <si>
    <t>The Water Bureau had an energy goal to reduce total energy use by 5% by July 2012. A new goal is now in development. The Columbia Boulevard wastewater treatment facility uses a 1.7 MW biogas generator that in 2012 produced 12,818 MWh, representing 63% of the electricity used on site.</t>
  </si>
  <si>
    <t>http://www.portlandoregon.gov/water/51768</t>
  </si>
  <si>
    <t>The SFPUC has installed large electric cogeneration plants that utilize digester gas, a by-product of wastewater treatment operations, at two of its wastewater treatment plants, Southeast and Oceanside. These generate 2 MW and 1 MW at peak, respectively.</t>
  </si>
  <si>
    <t>http://www.sfenvironment.org/sites/default/files/fliers/files/puc_cap_fy1011_2012_0430.pdf</t>
  </si>
  <si>
    <t>The city’s Department of Environmental Protection has a goal to reduce greenhouse gas emissions by 30% from 2006 levels [by when?]. The department has completed greenhouse gas and energy efficiency audits at four wastewater treatment plants and is in the process of auditing four additional plants to identify where energy use and emissions can be reduced. Modifications have been made at the Newtown Creek wastewater treatment plant, increasing energy efficiency and reliability.</t>
  </si>
  <si>
    <t>http://www.nyc.gov/html/dep/pdf/strategic_plan/dep_strategy_2011_update_sustainability.pdf</t>
  </si>
  <si>
    <t>Charging Infrastructure Promotion - Bay Area, CA - Mayors of San Francisco, San Jose, and Oakland are following a policy plan to develop and expand the infrastructure needed to promote the use of PEVs. Policy steps include: expediting the permit and installation processes for charging outlets; providing incentives for employers and other organizations who install charging infrastructure at the workplace and other parking facilities; developing standard regulations governing PEV infrastructure across the region; and establishing programs to purchase PEVs for use by city and state employees. The mayors are working with other cities in the Bay Area as well as regional government organizations and private sector partners through the Bay Area EV Corridor Project and the Association of Bay Area Governments</t>
  </si>
  <si>
    <t xml:space="preserve">Not for high mpg or hybrids, but Austin Energy does offer a rebate for home electric vehicle charging stations, which is 50% of the cost of the station, up to $1500.  In addition, with the help from a DOE funded grant, Austin energy installed 110 charging stations at 57 locations around the city of Austin. </t>
  </si>
  <si>
    <t>http://www.austinenergy.com/About%20Us/Environmental%20Initiatives/plug-in%20Partners/drivers.htm</t>
  </si>
  <si>
    <t>Houston Drives Electric initiative and Electric Vehicle Readiness Plan. Ranked among top 6 EV ready cities in 2011.</t>
  </si>
  <si>
    <t>http://www.greenhoustontx.gov/ev/houstondriveselectric.html</t>
  </si>
  <si>
    <t xml:space="preserve">The City supports EV charging stations at multiple City facilities including City Hall and Dallas Fair Park.  </t>
  </si>
  <si>
    <t xml:space="preserve">Plug-In Electric Vehicle (PEV) Charging Infrastructure Promotion - Bay Area, CA - Mayors of San Francisco, San Jose, and Oakland are following a policy plan to develop and expand the infrastructure needed to promote the use of PEVs. Policy steps include: expediting the permit and installation processes for charging outlets; providing incentives for employers and other organizations who install charging infrastructure at the workplace and other parking facilities; developing standard regulations governing PEV infrastructure across the region; and establishing programs to purchase PEVs for use by city and state employees. The mayors are working with other cities in the Bay Area as well as regional government organizations and private sector partners through the Bay Area EV Corridor Project and the Association of Bay Area Governments: </t>
  </si>
  <si>
    <t>http://www.abag.ca.gov/electric-vehicles/</t>
  </si>
  <si>
    <t>Plug-In Electric Vehicle (PEV) Ready Building Requirements - Los Angeles, CA - Newly constructed buildings in Los Angeles must provide the necessary hardware for immediate or future plug-in electric vehicle charging. One- and two-family dwellings and townhouses must be equipped with at least one PEV charging outlet, which is a 208/240 volt, 40 ampere, grounded alternating current outlet, or panel capacity and conduit for such outlet installation. Other residential buildings that have a common parking area must be equipped with PEV charging outlets in at least 5% of the total parking spaces or panel capacity and conduit for these upgrades in the future. The parking area of new high-rise residential and non-residential buildings must include PEV charging outlets in at least 5% of the total parking spaces.</t>
  </si>
  <si>
    <t>Maximum Total Score</t>
  </si>
  <si>
    <t>San Antonio, TX</t>
  </si>
  <si>
    <t>Peer Cities Scores</t>
  </si>
  <si>
    <t>Highest Scoring</t>
  </si>
  <si>
    <t>Initial Energy Management Policies for Government Operations Score</t>
  </si>
  <si>
    <t>Transparent Government Energy Usage Score</t>
  </si>
  <si>
    <t>Comprehensive Energy Management Strategy for Government Operations Score</t>
  </si>
  <si>
    <t>Getting Started on Community-Wide Energy Efficiency Score</t>
  </si>
  <si>
    <t>Informing the Community Score</t>
  </si>
  <si>
    <t>Comprehensive Community-Wide Energy Management Strategy Score</t>
  </si>
  <si>
    <t>Building Energy Codes Score</t>
  </si>
  <si>
    <t>Improving Access to Energy Usage Information Score</t>
  </si>
  <si>
    <t>Comprehensive Energy Management Strategy in Buildings Score</t>
  </si>
  <si>
    <t>Incentives for More Efficient Buildings Score</t>
  </si>
  <si>
    <t>Getting Started Through Incentives Score</t>
  </si>
  <si>
    <t>Accessible Energy Utility Data Score</t>
  </si>
  <si>
    <t>Comprehensive Energy Management at Utilities Score</t>
  </si>
  <si>
    <t>Dedicated Staff</t>
  </si>
  <si>
    <t>Energy-Efficient Procurement Policy</t>
  </si>
  <si>
    <t>Maintenance in Capital Budget</t>
  </si>
  <si>
    <t>Above Code Requirements for Public Buildings</t>
  </si>
  <si>
    <t>Comprehensive Retrofit Strategy</t>
  </si>
  <si>
    <t>Fix-It-First or Lifecycle Cost Policy</t>
  </si>
  <si>
    <t xml:space="preserve">Spending on Compliance </t>
  </si>
  <si>
    <t>Community Building Energy Savings Target</t>
  </si>
  <si>
    <t>Third-Party Compliance Programs</t>
  </si>
  <si>
    <t>Incentives or Finance Programs</t>
  </si>
  <si>
    <t>Above Code Requirements for Certain Private Buildings</t>
  </si>
  <si>
    <t>Retrofit Requirements</t>
  </si>
  <si>
    <t xml:space="preserve">Electric Efficiency Spending </t>
  </si>
  <si>
    <t>Natural Gas Efficiency Spending</t>
  </si>
  <si>
    <t xml:space="preserve">Electric Savings </t>
  </si>
  <si>
    <t xml:space="preserve">Location-Efficient Zoning </t>
  </si>
  <si>
    <t>Intermodal Freight Facilities</t>
  </si>
  <si>
    <t xml:space="preserve">Vehicle Purchase Incentives </t>
  </si>
  <si>
    <t xml:space="preserve">Vehicle Charging Infrastructure Incentives </t>
  </si>
  <si>
    <t>What percent of the city’s capital budget is devoted to maintenance of existing assets or development of distributed infrastructure (shade trees, transit improvements, etc.) in comparison to new infrastructure or major expansions?</t>
  </si>
  <si>
    <t>What percentage of local government building square footage has its energy use regularly benchmarked using ENERGY STAR Portfolio Manager or a similar tool?</t>
  </si>
  <si>
    <t xml:space="preserve">Has the local government adopted an energy efficiency target, or an energy-related target of another sort (such as a greenhouse gas reduction target or energy productivity target), for city operations? </t>
  </si>
  <si>
    <t xml:space="preserve">If the local government has adopted an energy efficiency or related target for city operations, is it on track to achieve it? </t>
  </si>
  <si>
    <t>Does the city have a dedicated funding source for efficiency investments? Or has the city institutionalized its energy efficiency target by incorporating it into the capital planning and budgeting process or into the city’s general plan?</t>
  </si>
  <si>
    <t>If the local government has adopted an energy efficiency or related target for city operations, does the city employ a third-party for independent evaluation, monitoring, and verification (EM&amp;V) of progress toward goals?</t>
  </si>
  <si>
    <t>Does the local government or individual departments within local government offer incentives for energy-efficient actions?</t>
  </si>
  <si>
    <t>Does your city have a right-sizing policy or other policy in place to encourage more efficient use of vehicle fleets?</t>
  </si>
  <si>
    <t xml:space="preserve">Does the city have dedicated funding for implementation of community-wide energy efficiency goals that is not dependent on general fund allocations? </t>
  </si>
  <si>
    <t xml:space="preserve">Residential Energy Code </t>
  </si>
  <si>
    <t xml:space="preserve">Commercial Energy Code </t>
  </si>
  <si>
    <t>Upfront Code Support</t>
  </si>
  <si>
    <t>Has the city adopted a benchmarking or energy disclosure requirement for commercial buildings?  If so, has it been implemented?</t>
  </si>
  <si>
    <t>Residential Benchmarking, Rating, and Disclosure Policies</t>
  </si>
  <si>
    <t>Has the city passed a benchmarking, rating, or energy disclosure requirement for residential buildings?  If so, has it been implemented?</t>
  </si>
  <si>
    <t>Has the city established an energy savings target for the buildings sector?</t>
  </si>
  <si>
    <t>Are there any above-code energy efficiency requirements for certain categories of private buildings or for buildings using public funds?</t>
  </si>
  <si>
    <t>Total 2011 Residential Customers of Primary Natural Gas Utility</t>
  </si>
  <si>
    <t>2011 Natural Gas Utility Spending on Energy Efficiency  ($ thousands)</t>
  </si>
  <si>
    <t>What is the electric utility spending on energy efficiency programs as a percentage of its revenue?</t>
  </si>
  <si>
    <t>Does the local or regional drinking water utility serving the locality or the local government fund water efficiency programs?</t>
  </si>
  <si>
    <t>Does the local or regional drinking water or wastewater utility serving the locality or the local government have a specific energy efficiency target?</t>
  </si>
  <si>
    <t>Does the city have an operational bike sharing program or is the city working to develop a bike sharing program?</t>
  </si>
  <si>
    <t>Does the city have an operational car sharing program or is the city working to bring a car sharing program to the community?</t>
  </si>
  <si>
    <t>Does any city staff actively engage in the activities of the Clean Cities Coalition or other regional clean transportation partnership that is active in your region or state?</t>
  </si>
  <si>
    <t>Efficient Driving Behavior</t>
  </si>
  <si>
    <r>
      <t xml:space="preserve">Does the city have financial or non-financial incentives in place for location-efficient development?  </t>
    </r>
    <r>
      <rPr>
        <b/>
        <i/>
        <sz val="11"/>
        <color indexed="8"/>
        <rFont val="Calibri"/>
        <family val="2"/>
      </rPr>
      <t>You can earn 0.5 points for each incentive enacted for a maximum of 1.5 points.  For the Scoring Criteria, please select the number which corresponds to the amount of incentives you have enacted in your locality.</t>
    </r>
  </si>
  <si>
    <t>Total State Freight Traffic - ton miles, all modes</t>
  </si>
  <si>
    <t xml:space="preserve">If the city has a commercial benchmarking or energy disclosure requirement, does the city follow any recognized best practices?  If so, how many? </t>
  </si>
  <si>
    <t xml:space="preserve">If the city has a residential benchmarking, rating, or energy disclosure requirement, does the city follow any recognized best practices?  If so, how many?  </t>
  </si>
  <si>
    <t xml:space="preserve">Does the city provide financial or non-financial incentives or financing programs for energy-efficient new construction or building improvements?  If so, how many on these incentives are in place? </t>
  </si>
  <si>
    <t>Requirement exists for residential AND commercial buildings</t>
  </si>
  <si>
    <t>Requirement exists for residential OR commercial buildings</t>
  </si>
  <si>
    <t>A60</t>
  </si>
  <si>
    <t>Retrofit requirement does not exist</t>
  </si>
  <si>
    <t>Burlington</t>
  </si>
  <si>
    <t>Goal to replace all existing streetlights (approximately 3,300) with LEDs over a 10 year period.  LED streetlights have already been installed along upper Main Street, lower College Street and Center Street, and are currently being installed along Shore Road</t>
  </si>
  <si>
    <t>Adopted Environmentally Preferable Purchase Policy (included calling for purchase of products that conserve energy)</t>
  </si>
  <si>
    <t>A right-sizing policy OR a policy to encourage efficient vehicle usage is in place</t>
  </si>
  <si>
    <t>No data found</t>
  </si>
  <si>
    <t>Yes, through Efficiency Vermont</t>
  </si>
  <si>
    <t xml:space="preserve">City is aiming to develop and implement additional stormwater management for new development and find ways to incentivize their use, but unclear if enacted </t>
  </si>
  <si>
    <t>Yes, state of Vermont - score: 24.4</t>
  </si>
  <si>
    <t>CarShare Vermont</t>
  </si>
  <si>
    <t>UVM Bike Sharing Program</t>
  </si>
  <si>
    <t>No Data Found</t>
  </si>
  <si>
    <t>Goal to reduce community-wide VMTs by 10% per capita by 2025</t>
  </si>
  <si>
    <t>Yes, 1 FTE - Sustainability Coordinator plus  the Energy Efficiency Team at the Burlington Electric Department (4 FT)</t>
  </si>
  <si>
    <t xml:space="preserve">At least 4 full-time employees are dedicated to energy management and coordination (plus 1 FT working at the Unversity and one working on residential) </t>
  </si>
  <si>
    <t>yes</t>
  </si>
  <si>
    <t>While an adopted policy is not in place, but the city is moving quickly towards LED streetlighting</t>
  </si>
  <si>
    <t>yes, using photosensors</t>
  </si>
  <si>
    <t>Need to check with Steve Roy</t>
  </si>
  <si>
    <t xml:space="preserve">Beginning to develop a commute reduction program that may include flexible work schedules.  </t>
  </si>
  <si>
    <t>City is a member of the Campus Area Transportation Management Association, a local TMA charged with reducing SOV use</t>
  </si>
  <si>
    <t xml:space="preserve">See above.  We are also members of CarShareVermont and offer free bus passes to city staff </t>
  </si>
  <si>
    <t>Yes -- BED is required in an annual energy report to the PSB</t>
  </si>
  <si>
    <t>Monthly commission meetings, visit to Neighborhood Planning Assemblies and  on-line information made available through Front Porch Forum (a neighborhood focused list-serve)</t>
  </si>
  <si>
    <t>0 but interest in possible benchmarking</t>
  </si>
  <si>
    <t>Target 1: Stop the increase of emissions and bring 2016 emissions down to 2010 levels
Target 2: 20% reduction in GHG emissions  from 2010 levels by 2025 for city operations.  Also have a BED Commission goal of increased efficiency and significantly reduced usage (below 1989 levels).  Currently at 5.3% less.</t>
  </si>
  <si>
    <t>No -- we don't separate city operations from overall City goals</t>
  </si>
  <si>
    <t>City has implemented programs to save energy</t>
  </si>
  <si>
    <t>City is looking and exploring implementation of Green Capital Improvement Plan</t>
  </si>
  <si>
    <t>Not specifically for City operations, but Burlington as a whole</t>
  </si>
  <si>
    <t>Yes, many offered by BED</t>
  </si>
  <si>
    <t>Programs are not specially targetted for City buildings/operations. Rebates and incentives also offered to City government</t>
  </si>
  <si>
    <t>No, not yet</t>
  </si>
  <si>
    <t>Not yet</t>
  </si>
  <si>
    <t>not yet</t>
  </si>
  <si>
    <t xml:space="preserve">yes </t>
  </si>
  <si>
    <t>several level 1 and level 2 -- no level 3s yet</t>
  </si>
  <si>
    <t xml:space="preserve">yes -- Commercial building energy standards are required for all buildings in Burlington </t>
  </si>
  <si>
    <t>Although a policy is not place, the city has made substantial efficiency investments; Goal to implement a deep energy efficiency program for government buildings.  Deep energy retrofits would include renovations to current structures that use the latest energy-efficient technologies. Burlington School district has obtained a $9 bond to address needs, including energy efficiency improvements to three schools.  Improvements  included replacing old boilers with high efficiency units, upgrading lighting systems, installing heat recovery units, and improving insulation for walls, roofs, and doors</t>
  </si>
  <si>
    <t>no</t>
  </si>
  <si>
    <t>7 FT through BED</t>
  </si>
  <si>
    <t>yes, BED does</t>
  </si>
  <si>
    <t xml:space="preserve">not specifically -- although actively working to increase green space. Burlington also has a large urban tree canopy (~45%) </t>
  </si>
  <si>
    <t>Burlington Climate Action Plan and some actions items contained therein are incorporated into 2011 Municipal Development Plan (Plan is developed every 5 years).  BED  continues to make progress on reduction.</t>
  </si>
  <si>
    <t>Burlington Electric Department (BED) customers pay a monthly energy efficiency charge (EEC) which goes towards funding energy efficiency programs. On-bill financing also used, with start-up funding through EDA. PACE is being implemented for residential customers.</t>
  </si>
  <si>
    <t>no, somewhat below target but working to catch up. Because it is a 3 year cycle, working to make it up.</t>
  </si>
  <si>
    <t xml:space="preserve">No, but active discussion underway for CHP at wood-fired MacNeil Generating Plant. </t>
  </si>
  <si>
    <t>City working towards CHP implementation</t>
  </si>
  <si>
    <t>Discussions underway</t>
  </si>
  <si>
    <t>City has  the potential for one large district energy system, but does not integrate with CHP at present</t>
  </si>
  <si>
    <t>No, although Master Parks Plan is currently being created with eye towards increased green space</t>
  </si>
  <si>
    <t>Residential Building Energy Standards</t>
  </si>
  <si>
    <t>CBES. Adoption authority is the State.</t>
  </si>
  <si>
    <t>RBES</t>
  </si>
  <si>
    <t>CBES</t>
  </si>
  <si>
    <t>~1%</t>
  </si>
  <si>
    <t xml:space="preserve">Yes, all designs are reviewed by BED </t>
  </si>
  <si>
    <t>Proposed legislation in Vermont would require asset ratings for homes and commercial buildings prior to a sale. Burlington has time of sale ordinance</t>
  </si>
  <si>
    <t>working on it</t>
  </si>
  <si>
    <t xml:space="preserve">Burlington is aiming to require new residential construction to be Vermont Energy Star for Homes (VESH) qualified.  </t>
  </si>
  <si>
    <t>No</t>
  </si>
  <si>
    <t xml:space="preserve">No </t>
  </si>
  <si>
    <t>BED provides On-Bill Financing for commercial efficiency projects. We also will be offering PACE for residential projects</t>
  </si>
  <si>
    <t xml:space="preserve">No  </t>
  </si>
  <si>
    <t xml:space="preserve">All efficiency projects are required to meet CBES/RBES standards. Incentives are provided for surpassing standards. </t>
  </si>
  <si>
    <t xml:space="preserve">Vermont Gas will soon be an EEU, starting 2014. </t>
  </si>
  <si>
    <t>BED will be launching Energy Engage for commercial accounts, which will provide consumption data through smart meter data. [Already in place for residential]</t>
  </si>
  <si>
    <t>Availabe at BED website</t>
  </si>
  <si>
    <t>NO</t>
  </si>
  <si>
    <t>BED provides low-flow faucets and shower heads for multi-family housing</t>
  </si>
  <si>
    <t>City is implementing additional stormwater management for new development and find ways to incentivize their use. Funds also available through LCI (regional organization)</t>
  </si>
  <si>
    <t>EV Stations have app provided</t>
  </si>
  <si>
    <t>City is working on it</t>
  </si>
  <si>
    <t>1. Burlington has an aim to develop a form-based code to incentivize efficient building siting and design
2.  Also has aim to continue incentivizing infill development through zoning regulations</t>
  </si>
  <si>
    <t>Worknig with Campus Area Transportation Authority to develop</t>
  </si>
  <si>
    <t>In progress</t>
  </si>
  <si>
    <t>No clue</t>
  </si>
  <si>
    <t xml:space="preserve">Burlington has anti-idling campaign - involves extensive outreach strategy, including the placement of no-idling signs around the community. Most recently, the DPW Commission approved changes in to the original ordinance, including limited idling from 5 to 3 minutes and eliminating the season exemption. City also offers Eco Driving classes through UVM. </t>
  </si>
  <si>
    <t xml:space="preserve">Burlington Sustainability Action Team (BSAT) is beginning to develop a commute reduction program that will likely include incentives for staff to use alternative modes of transportation, car and ride sharing programs, as well as flexible work schedules. So far the team has begun discussion with CATMA (Campus Area Transportation Management Agency) and CarShare VT for finding ways to partner in this effort.  Also, the Way to Go! Commuter Challenge encourages Vermonters to try smarter ways to travel in their commutes, like carpooling, biking, and public transportation. Participants pledge to use these alternative transportation methods for one week in May. </t>
  </si>
  <si>
    <t xml:space="preserve">NO  </t>
  </si>
  <si>
    <t xml:space="preserve">Looking at State opportunites for funding opportunities. </t>
  </si>
  <si>
    <t>Total Funding: $550,498,787 Local Government Funding: $33,908,461</t>
  </si>
  <si>
    <t>Regional Transit agency: Fort Worth Transportation Authority
Funding from Local Governments: $45762132
Total Funding: $79453373</t>
  </si>
  <si>
    <t>Transit Agencies: Miami-Dade Transit                                                                                 
Total Funding: $553758285
Local Government Funding: $302520273</t>
  </si>
  <si>
    <t>Local Government funding: $1,395,514,890 Total Funding: $2,642,000,231</t>
  </si>
  <si>
    <t>Local Government Funding: $23656752
Total Funding: $65410156</t>
  </si>
  <si>
    <t>Total Funding: $72,201,876, Local Government Funding: $33,133,030</t>
  </si>
  <si>
    <t>Total Funding: $152693564
Local Government Funding: $77543926</t>
  </si>
  <si>
    <t>Local Government Funding: $23318687
Total Funding: $80371616</t>
  </si>
  <si>
    <t>Suburban Mobility Authority for Regional Transportation, Detroit Transportation Corporation
Total Funding: $315,745,280
Local Government Funding: $95,226,247</t>
  </si>
  <si>
    <t>Local Government Funding: $54,420,450 Total Funding: $92,794,799</t>
  </si>
  <si>
    <t>Transportation partnerships</t>
  </si>
  <si>
    <t>Massachusetts Clean Cities Coalition</t>
  </si>
  <si>
    <t>http://www.afdc.energy.gov/cleancities/coalition/massachusetts</t>
  </si>
  <si>
    <t>Columbia-Willamette Clean Cities Coalition</t>
  </si>
  <si>
    <t>http://www.afdc.energy.gov/cleancities/coalition/columbia-willamette</t>
  </si>
  <si>
    <t>San Francisco Clean Cities Coalition</t>
  </si>
  <si>
    <t>http://www.afdc.energy.gov/cleancities/coalition/san-francisco</t>
  </si>
  <si>
    <t>Lone Star Clean Fuels Alliance (Central Texas) Coalition</t>
  </si>
  <si>
    <t>http://www.afdc.energy.gov/cleancities/coalition/lone-star</t>
  </si>
  <si>
    <t>Greater Washington Region Clean Cities Coalition</t>
  </si>
  <si>
    <t>http://www.afdc.energy.gov/cleancities/coalition/greater-washington</t>
  </si>
  <si>
    <t>Chicago Area Clean Cities Coalition</t>
  </si>
  <si>
    <t>http://www.afdc.energy.gov/cleancities/coalition/chicago</t>
  </si>
  <si>
    <t>Denver Clean Cities Coalition; Downtown Denver Partnership; Regional Air Quality Council; Regional Transportation District.</t>
  </si>
  <si>
    <t>http://www.afdc.energy.gov/cleancities/coalition/denver</t>
  </si>
  <si>
    <t>Houston-Galveston Clean Cities Coalition</t>
  </si>
  <si>
    <t>http://www.afdc.energy.gov/cleancities/coalition/houston-galveston</t>
  </si>
  <si>
    <t>Valley of the Sun Clean Cities Coalition</t>
  </si>
  <si>
    <t>http://www.afdc.energy.gov/cleancities/coalition/phoenix</t>
  </si>
  <si>
    <t>Clean Cities Atlanta</t>
  </si>
  <si>
    <t>http://www.afdc.energy.gov/cleancities/coalition/atlanta</t>
  </si>
  <si>
    <t>Alamo Area Clean Cities Coalition</t>
  </si>
  <si>
    <t>http://www.afdc.energy.gov/cleancities/coalition/alamo-area</t>
  </si>
  <si>
    <t>Sacramento Clean Cities Coalition</t>
  </si>
  <si>
    <t>http://www.afdc.energy.gov/cleancities/coalition/sacramento</t>
  </si>
  <si>
    <t xml:space="preserve">Clean Fuels Ohio. </t>
  </si>
  <si>
    <t>http://www.afdc.energy.gov/cleancities/coalition/clean-fuels-ohio</t>
  </si>
  <si>
    <t>Yes, the El Paso County is a participant in the Clean Cities Coalition. Yes, our Sustainability Director is very involved.</t>
  </si>
  <si>
    <t>East West Gateway and St. Louis Clean Cities Coalition</t>
  </si>
  <si>
    <t>http://www.afdc.energy.gov/cleancities/coalition/st-louis</t>
  </si>
  <si>
    <t>Dallas-Fort Worth Clean Cities Coalition</t>
  </si>
  <si>
    <t>http://www.afdc.energy.gov/cleancities/coalition/dallas-fort-worth</t>
  </si>
  <si>
    <t>Los Angeles Clean Cities Coalition</t>
  </si>
  <si>
    <t>http://www.afdc.energy.gov/cleancities/coalition/los-angeles</t>
  </si>
  <si>
    <t>Greater Indiana Clean Cities Coalition</t>
  </si>
  <si>
    <t>http://www.afdc.energy.gov/cleancities/coalition/greater-indiana</t>
  </si>
  <si>
    <t xml:space="preserve">The West TN Clean Cities Coalition was recently created, but it is not coordinated by a city agency.  The Sustainability Office is a regular contributer to these </t>
  </si>
  <si>
    <t>Policy Step 2: Improve Access to Actionable Information</t>
  </si>
  <si>
    <t>Parking requirements</t>
  </si>
  <si>
    <t xml:space="preserve">Boston has been using maximum parking ratios for over a decade to suppress growth in parking supply and enforces a “parking freeze” in downtown districts </t>
  </si>
  <si>
    <t>http://www.cityofboston.gov/TRANSPORTATION/accessboston/pdfs/parking_districts.pdf</t>
  </si>
  <si>
    <t xml:space="preserve">Portland has no parking minimums for residential dwellings with  zero to 30 units in many zones across the city. Elsewhere, a minimum of one space per unit is implemented </t>
  </si>
  <si>
    <t>http://www.portlandoregon.gov/bps/article/53320</t>
  </si>
  <si>
    <t xml:space="preserve">San Francisco has successfully eliminated city-wide parking requirements for residential purposes </t>
  </si>
  <si>
    <t>Cal Broomhead</t>
  </si>
  <si>
    <t xml:space="preserve">Developers are required to provide, on average, 43 new off-street parking spaces for every 100 new housing units constructed in New York City </t>
  </si>
  <si>
    <t>http://metro.kingcounty.gov/up/projects/right-size-parking/pdf/furman-parking-requirements-policy-brief_3-21-12-final.pdf</t>
  </si>
  <si>
    <t xml:space="preserve">Seattle requires one parking space to be built for each residential dwelling </t>
  </si>
  <si>
    <t>http://clerk.ci.seattle.wa.us/~public/toc/23-43.htm</t>
  </si>
  <si>
    <t xml:space="preserve">Minneapolis requires one parking space per dwelling on average </t>
  </si>
  <si>
    <t>http://www.ci.minneapolis.mn.us/cped/projects/cped_parking</t>
  </si>
  <si>
    <t>The Chicago zoning ordinance includes parking reductions for development around transit stations</t>
  </si>
  <si>
    <t>http://www.scribd.com/doc/28487280/Chicago-Zoning-Ordinance-Parking-Table-17-10-0207a</t>
  </si>
  <si>
    <t xml:space="preserve">Philadelphia’s parking code eradicates parking minimums for multifamily developments in the city center. Row house districts are also not subject to parking minimums </t>
  </si>
  <si>
    <t>http://planphilly.com/articles/2010/11/16/cutting-through-zoning-code-parking-and-loading</t>
  </si>
  <si>
    <t>Baltimore requires one parking space per residential dwelling</t>
  </si>
  <si>
    <t>http://www.transformbaltimore.net/portal/transv2/transdraft2?pointId=d113837e2489#section-d113837e2489</t>
  </si>
  <si>
    <t xml:space="preserve">Reduced parking restrictions are provided in areas around transit stations and other mixed-use projects where reduced parking requirements (as well as shared use parking agreements) are most appropriate for further encouraging the accommodation of other non-vehicular modes of transportation. In addition, Houston’s parking rules allow the creation of special parking areas for the purposes of increasing distance of parking to businesses, reducing parking ratios, and sharing parking </t>
  </si>
  <si>
    <t>No minimums in one or more neighborhood</t>
  </si>
  <si>
    <t>http://www.cityofsacramento.org/dsd/planning/long-range/parking/documents/Ordinance2012-043.pdf</t>
  </si>
  <si>
    <t xml:space="preserve">Columbus requires at least 0.75 and 2 parking spaces per residential unit depending on the number of dwelling units per abode </t>
  </si>
  <si>
    <t>http://development.columbus.gov/planning/parking.aspx</t>
  </si>
  <si>
    <t xml:space="preserve">The city of Pittsburgh requires one parking space per residential dwelling </t>
  </si>
  <si>
    <t>http://ecode360.com/13715802</t>
  </si>
  <si>
    <t>1 parking space or fewer per residential unit</t>
  </si>
  <si>
    <t>http://ww.charmeck.org/Planning/ZoningOrdinance/ZoningOrdCityChapter10.pdf</t>
  </si>
  <si>
    <t>Policy Step 3: Comprehensive Energy Strategy</t>
  </si>
  <si>
    <t xml:space="preserve">Location-efficient zoning </t>
  </si>
  <si>
    <t xml:space="preserve">Articles 87 and 87a of Boston’s zoning code includes smart growth overlays to promote compact, mixed-use communities </t>
  </si>
  <si>
    <t>http://www.bostonredevelopmentauthority.org/pdf/ZoningCode/Article27D.pdf</t>
  </si>
  <si>
    <t xml:space="preserve">Portland’s zoning code encourages mixed-use and infill development along nearly all portions of the city’s main commercial streets and throughout most of the central city. The zoning map also identifies specific mixed-use centers, consistent with the regional growth plan, Metro 2040 </t>
  </si>
  <si>
    <t>http://reconnectingamerica.org/assets/Uploads/091118ra_sustainabilityrecommendations_final.pdf</t>
  </si>
  <si>
    <t xml:space="preserve">PLANYC, New York City’s zoning code, designates a number of special purpose districts for the creation of mixed-use development in the city </t>
  </si>
  <si>
    <t>http://www.nyc.gov/html/dcp/html/zone/zh_special_purp_mn.shtml</t>
  </si>
  <si>
    <t xml:space="preserve">Subchapter E of Austin’s zoning code adopted in 2009 includes form-based code elements to ensure street connectivity and mixed-use development in certain neighborhoods </t>
  </si>
  <si>
    <t>http://www.amlegal.com/nxt/gateway.dll/Texas/austin/thecodeofthecityofaustintexas?f=templates$fn=default.htm$3.0$vid=amlegal:austin_tx$anc=%20</t>
  </si>
  <si>
    <t xml:space="preserve">DC’s zoning code encourages mixed-use and transit-oriented development, and infill development </t>
  </si>
  <si>
    <t>http://dcoz.dc.gov/info/reg.shtm</t>
  </si>
  <si>
    <t xml:space="preserve">Minneapolis’ Title 20 zoning code includes a series of pedestrian and downtown development overlays to encourage the creation of walkable neighborhoods </t>
  </si>
  <si>
    <t>http://sgnarc.ncat.org/engine/index.php/resources/2005/10/03/Smart-Growth-In-Action-Livable-Communities-Program-MinneapolisSt-Paul-Metropolitan-Area-Minnesota</t>
  </si>
  <si>
    <t xml:space="preserve">Philadelphia adopted a new zoning code in 2012 that encourages development patterns that reinforce walkability and transit use through the use of a transit-oriented development overlay and mixed-use zoning </t>
  </si>
  <si>
    <t>http://zoningmatters.org/sites/zoningmatters.org/files/Public%20Draft%20Module%203%20-%20Development%20Standards.pdf</t>
  </si>
  <si>
    <t xml:space="preserve">The city of Denver has a form-based/context-sensitive zoning code to encourage mixed uses in urban centers and around transit-oriented development. Form-based elements regulate all building types </t>
  </si>
  <si>
    <t xml:space="preserve">http://www.denvergov.org/planning/BlueprintDenver/tabid/431883/Default.aspx </t>
  </si>
  <si>
    <t xml:space="preserve">Transform Baltimore is a city-wide transect-based code with a mixed-use overlay to encourage the development of mixed-use neighborhoods </t>
  </si>
  <si>
    <t>http://www.rewritebaltimore.org/index.html</t>
  </si>
  <si>
    <t>Dallas’s Chapter 51A Article XIII uses mixed use districts on the neighborhood scale to implement transit-oriented development communities and mixed-use development in area plans</t>
  </si>
  <si>
    <t>http://www.placemakers.com/wp-content/uploads/2013/04/CodesStudy_Apr2013_WEB.htm</t>
  </si>
  <si>
    <t xml:space="preserve">Phoenix city zoning include a transit-oriented development overlay district as well as form-based zoning for downtown development </t>
  </si>
  <si>
    <t>http://phoenix.gov/webcms/groups/internet/@inter/@env/@sustain/documents/web_content/021142.pdf</t>
  </si>
  <si>
    <r>
      <t>Atlanta has mandatory neighborhood form-based codes in addition to city-wide floating zones that have been in place since 1999. The city also has transit-oriented development</t>
    </r>
    <r>
      <rPr>
        <sz val="11"/>
        <color indexed="8"/>
        <rFont val="Garamond"/>
        <family val="1"/>
      </rPr>
      <t>–</t>
    </r>
    <r>
      <rPr>
        <sz val="11"/>
        <color indexed="8"/>
        <rFont val="Book Antiqua"/>
        <family val="1"/>
      </rPr>
      <t xml:space="preserve">specific codes for the Doraville and Edgewood neighborhoods </t>
    </r>
  </si>
  <si>
    <t xml:space="preserve">The city’s Unified Development Code was adopted in 2006. This Unified Development Code includes use patterns for various forms of smart growth development such as traditional neighborhood development, transit-oriented development, neighborhood centers and conservation subdivisions, new infill development zones, parking caps, and street design and infrastructure options </t>
  </si>
  <si>
    <t>http://www.sanantonio.gov/dsd/udc.asp?res=1280&amp;ver=true</t>
  </si>
  <si>
    <t xml:space="preserve">The Columbus municipal planning code includes city-wide commercial zoning overlays to encourage pedestrian- and transit-friendly development in existing corridors while traditional neighborhood development zoning encourages a mix of residential types and commercial properties </t>
  </si>
  <si>
    <t xml:space="preserve">San Diego’s municipal code includes a transit overlay and urban village overlay for the development of walkable, mixed-use communities </t>
  </si>
  <si>
    <t>http://google.sannet.gov/search?site=scs_municode_ch13&amp;partialfields=&amp;requiredfields=PATH%3Amunicode&amp;client=scs_ocd&amp;filter=0&amp;config=muni_ch13.js&amp;layout_type=title&amp;getfields=DOC_NUM.TITLE&amp;proxystylesheet=scs_ocd&amp;output=xml_no_dtd&amp;proxyreload=1&amp;sort=date:A:</t>
  </si>
  <si>
    <t xml:space="preserve">Plan El Paso implements a smart code for the city with a focus on walkable development around the city’s transit stations </t>
  </si>
  <si>
    <t>http://planelpaso.org/</t>
  </si>
  <si>
    <t xml:space="preserve">Ordinance 69199 was adopted in 2012 and creates a new form-based overlay district to be incorporated into the St. Louis zoning code </t>
  </si>
  <si>
    <t>http://stlouis-mo.gov/government/departments/aldermen/city-laws/board-bills.cfm?bbDetail=true&amp;BBId=7854</t>
  </si>
  <si>
    <t xml:space="preserve">Fort Worth has implemented form-based codes to govern development in the Near Southside and Trinity Uptown neighborhoods </t>
  </si>
  <si>
    <t xml:space="preserve">Miami 21 is the city’s mandatory, city-wide smart code that was adopted in 2009 and uses form-based zoning to encourage smart growth tenets </t>
  </si>
  <si>
    <t>http://switchboard.nrdc.org/blogs/kbenfield/miami_21_leads_the_way_on_zoni.html</t>
  </si>
  <si>
    <t xml:space="preserve">Tampa has neighborhood form-based codes for the Greater Seminole Heights Planning Area, 40th Street, and Tampa Heights neighborhoods </t>
  </si>
  <si>
    <t>http://www.invisiontampa.com</t>
  </si>
  <si>
    <t xml:space="preserve">Charlotte’s zoning code includes both pedestrian and transit-supported overlay districts in an effort to create transit-oriented development communities </t>
  </si>
  <si>
    <t xml:space="preserve">Memphis adopted a Unified Development Code in 2010 that incorporates form-based elements and overlays to encourage mixed-use development </t>
  </si>
  <si>
    <t xml:space="preserve"> http://shelbycountytn.gov/DocumentCenter/View/11629</t>
  </si>
  <si>
    <t xml:space="preserve">Jacksonville’s traditional neighborhood development ordinance is a city-wide form-based ordinance that has been in place since 1987 </t>
  </si>
  <si>
    <t>Integration of Transportation and Land Use Planning</t>
  </si>
  <si>
    <t xml:space="preserve">Boston has a ex-officio seat both on the Metropolitan Area Planning Council which is responsible for managing the links between land use and transportation regionally and on the Boston MPO.   Boston's Climate Action Plan has set a goal of reducing VMT in Boston by 7.5% by 2020 (see City of Boston Climate Action Plan), has mode share ratios for each neighborhood (Access Boston reports) and is encouraging "mobilty hubs" at transit stations through its Complete Streets initiative. </t>
  </si>
  <si>
    <t>The City of Portland adopted the following commute mode split targets in the Portland Plan in April 2012 (Resolution 36918): Transit: 25%, Bike: 25%, Walk: 7.5%, Carpool: 10%, Telecommute/Work from Home: 2.5%</t>
  </si>
  <si>
    <t>http://www.portlandoregon.gov/bps/article/429864</t>
  </si>
  <si>
    <t>101 Mode shift– SFMTA has an adopted 2018 mode shift target of 50% sustainable mode share for all trips</t>
  </si>
  <si>
    <t>http://www.sfmta.com/sites/default/files/Concept8SummaryReport_v8accessible.pdf</t>
  </si>
  <si>
    <t>The City's Comprehensive Plan is developed in coordination with our regional MPO, the Puget Sound Regional Council. Through this body, the City participates in transportation and land use efforts, and coordination with county and neighboring municipal governments. The Comprehensive Plan and Transportation Strategic Plan, as well as the State and City Commute Trip Reduction plans identify specific VMT and Drive Alone Rate (DAR) reduction goals. The Pedestrian and Bicycle Master Plans identify goals for increasing walking and biking mode splits. Further the City passed resolution 31312 that sets a 20% reduction in VMT, 75% reduction in GHGs per mile of travel by passenger vehicles in Seattle.</t>
  </si>
  <si>
    <t>http://www.seattle.gov/dpd/Planning/Seattle_s_Comprehensive_Plan/ComprehensivePlan/default.asp</t>
  </si>
  <si>
    <t>Yes, DC was a leader in COG's Region Forward program to set regional transportation and development goals for the region.</t>
  </si>
  <si>
    <t xml:space="preserve"> Integration of transportation and land use planning: The City’s recently-adopted Climate Action Plan includes a specific VMT reduction goal and strategies for achieving that goal (see page 23).  The City also has adopted targets for reduction in single-occupancy vehicle mode share and increasing bicycle mode share  and the count of cyclists </t>
  </si>
  <si>
    <t>http://www.minneapolismn.gov/sustainability/climate/index.htm</t>
  </si>
  <si>
    <t>City target to reduce VMT by 10%. Reduction currently at 7.4% since baseline year of 2005.</t>
  </si>
  <si>
    <t>http://www.phila.gov/green/pdfs/GW2012Report.pdf</t>
  </si>
  <si>
    <t>The City of Dallas has commited to reducing Vehicle Miles Travelled by 10% annually as part of the city-wide ISO 14001:2004 certified Environmental Management System; therefore, should receive 2 points.</t>
  </si>
  <si>
    <t>http://www.dallascityhall.com/committee_briefings/briefings0412/TEC_Overview-ISO-14001-EMS_042312.pdf</t>
  </si>
</sst>
</file>

<file path=xl/styles.xml><?xml version="1.0" encoding="utf-8"?>
<styleSheet xmlns="http://schemas.openxmlformats.org/spreadsheetml/2006/main">
  <numFmts count="4">
    <numFmt numFmtId="43" formatCode="_(* #,##0.00_);_(* \(#,##0.00\);_(* &quot;-&quot;??_);_(@_)"/>
    <numFmt numFmtId="164" formatCode="0.0"/>
    <numFmt numFmtId="165" formatCode="0;\-0;;@"/>
    <numFmt numFmtId="166" formatCode="&quot;$&quot;#,##0.00"/>
  </numFmts>
  <fonts count="45">
    <font>
      <sz val="11"/>
      <color theme="1"/>
      <name val="Calibri"/>
      <family val="2"/>
      <scheme val="minor"/>
    </font>
    <font>
      <b/>
      <sz val="11"/>
      <color indexed="9"/>
      <name val="Calibri"/>
      <family val="2"/>
    </font>
    <font>
      <sz val="11"/>
      <color indexed="9"/>
      <name val="Calibri"/>
      <family val="2"/>
    </font>
    <font>
      <b/>
      <sz val="11"/>
      <color indexed="9"/>
      <name val="Calibri"/>
      <family val="2"/>
    </font>
    <font>
      <b/>
      <sz val="16"/>
      <color indexed="9"/>
      <name val="Calibri"/>
      <family val="2"/>
    </font>
    <font>
      <b/>
      <sz val="11"/>
      <color indexed="8"/>
      <name val="Calibri"/>
      <family val="2"/>
    </font>
    <font>
      <i/>
      <sz val="11"/>
      <color indexed="8"/>
      <name val="Calibri"/>
      <family val="2"/>
    </font>
    <font>
      <b/>
      <sz val="11"/>
      <name val="Calibri"/>
      <family val="2"/>
    </font>
    <font>
      <sz val="24"/>
      <color indexed="8"/>
      <name val="Calibri"/>
      <family val="2"/>
    </font>
    <font>
      <sz val="11"/>
      <name val="Calibri"/>
      <family val="2"/>
    </font>
    <font>
      <sz val="8"/>
      <color indexed="81"/>
      <name val="Tahoma"/>
      <family val="2"/>
    </font>
    <font>
      <b/>
      <sz val="8"/>
      <color indexed="81"/>
      <name val="Tahoma"/>
      <family val="2"/>
    </font>
    <font>
      <b/>
      <sz val="16"/>
      <color indexed="8"/>
      <name val="Calibri"/>
      <family val="2"/>
    </font>
    <font>
      <sz val="11"/>
      <color indexed="10"/>
      <name val="Calibri"/>
      <family val="2"/>
    </font>
    <font>
      <b/>
      <i/>
      <sz val="11"/>
      <color indexed="8"/>
      <name val="Calibri"/>
      <family val="2"/>
    </font>
    <font>
      <sz val="11"/>
      <color indexed="8"/>
      <name val="Calibri"/>
      <family val="2"/>
    </font>
    <font>
      <i/>
      <sz val="11"/>
      <name val="Calibri"/>
      <family val="2"/>
    </font>
    <font>
      <sz val="11"/>
      <color indexed="8"/>
      <name val="Calibri"/>
      <family val="2"/>
    </font>
    <font>
      <b/>
      <sz val="14"/>
      <color indexed="8"/>
      <name val="Calibri"/>
      <family val="2"/>
    </font>
    <font>
      <i/>
      <sz val="11"/>
      <color indexed="9"/>
      <name val="Calibri"/>
      <family val="2"/>
    </font>
    <font>
      <sz val="10"/>
      <color indexed="8"/>
      <name val="Franklin Gothic Book"/>
      <family val="2"/>
    </font>
    <font>
      <i/>
      <sz val="10"/>
      <color indexed="8"/>
      <name val="Franklin Gothic Book"/>
      <family val="2"/>
    </font>
    <font>
      <sz val="9"/>
      <color indexed="8"/>
      <name val="Calibri"/>
      <family val="2"/>
    </font>
    <font>
      <b/>
      <sz val="9"/>
      <color indexed="8"/>
      <name val="Calibri"/>
      <family val="2"/>
    </font>
    <font>
      <u/>
      <sz val="9"/>
      <color indexed="12"/>
      <name val="Calibri"/>
      <family val="2"/>
    </font>
    <font>
      <sz val="10"/>
      <color indexed="8"/>
      <name val="Calibri"/>
      <family val="2"/>
    </font>
    <font>
      <sz val="9"/>
      <name val="Calibri"/>
      <family val="2"/>
    </font>
    <font>
      <sz val="10"/>
      <name val="Calibri"/>
      <family val="2"/>
    </font>
    <font>
      <sz val="10"/>
      <color indexed="8"/>
      <name val="Franklin Gothic Book"/>
      <family val="2"/>
    </font>
    <font>
      <sz val="9"/>
      <color indexed="8"/>
      <name val="Calibri"/>
      <family val="2"/>
    </font>
    <font>
      <sz val="11"/>
      <color indexed="8"/>
      <name val="Franklin Gothic Book"/>
      <family val="2"/>
    </font>
    <font>
      <b/>
      <sz val="10"/>
      <color indexed="8"/>
      <name val="Franklin Gothic Book"/>
      <family val="2"/>
    </font>
    <font>
      <sz val="11"/>
      <color indexed="8"/>
      <name val="Book Antiqua"/>
      <family val="1"/>
    </font>
    <font>
      <sz val="9"/>
      <color indexed="8"/>
      <name val="Franklin Gothic Book"/>
      <family val="2"/>
    </font>
    <font>
      <sz val="10"/>
      <color indexed="8"/>
      <name val="Calibri"/>
      <family val="2"/>
    </font>
    <font>
      <sz val="9"/>
      <color indexed="8"/>
      <name val="Garamond"/>
      <family val="1"/>
    </font>
    <font>
      <sz val="9"/>
      <color indexed="23"/>
      <name val="Calibri"/>
      <family val="2"/>
    </font>
    <font>
      <sz val="11"/>
      <color indexed="8"/>
      <name val="Book Antiqua"/>
      <family val="1"/>
    </font>
    <font>
      <sz val="11"/>
      <name val="Franklin Gothic Book"/>
      <family val="2"/>
    </font>
    <font>
      <u/>
      <sz val="10"/>
      <name val="Calibri"/>
      <family val="2"/>
    </font>
    <font>
      <u/>
      <sz val="10"/>
      <color indexed="12"/>
      <name val="Calibri"/>
      <family val="2"/>
    </font>
    <font>
      <sz val="11"/>
      <color indexed="8"/>
      <name val="Garamond"/>
      <family val="1"/>
    </font>
    <font>
      <sz val="10"/>
      <name val="Arial"/>
      <family val="2"/>
    </font>
    <font>
      <sz val="8"/>
      <name val="Calibri"/>
      <family val="2"/>
    </font>
    <font>
      <u/>
      <sz val="11"/>
      <color theme="10"/>
      <name val="Calibri"/>
      <family val="2"/>
      <scheme val="minor"/>
    </font>
  </fonts>
  <fills count="9">
    <fill>
      <patternFill patternType="none"/>
    </fill>
    <fill>
      <patternFill patternType="gray125"/>
    </fill>
    <fill>
      <patternFill patternType="solid">
        <fgColor indexed="18"/>
        <bgColor indexed="64"/>
      </patternFill>
    </fill>
    <fill>
      <patternFill patternType="solid">
        <fgColor indexed="31"/>
        <bgColor indexed="64"/>
      </patternFill>
    </fill>
    <fill>
      <patternFill patternType="solid">
        <fgColor indexed="44"/>
        <bgColor indexed="64"/>
      </patternFill>
    </fill>
    <fill>
      <patternFill patternType="solid">
        <fgColor indexed="13"/>
        <bgColor indexed="64"/>
      </patternFill>
    </fill>
    <fill>
      <patternFill patternType="solid">
        <fgColor indexed="10"/>
        <bgColor indexed="64"/>
      </patternFill>
    </fill>
    <fill>
      <patternFill patternType="solid">
        <fgColor indexed="62"/>
        <bgColor indexed="64"/>
      </patternFill>
    </fill>
    <fill>
      <patternFill patternType="solid">
        <fgColor indexed="57"/>
        <bgColor indexed="64"/>
      </patternFill>
    </fill>
  </fills>
  <borders count="3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s>
  <cellStyleXfs count="5">
    <xf numFmtId="0" fontId="0" fillId="0" borderId="0"/>
    <xf numFmtId="43" fontId="17" fillId="0" borderId="0" applyFont="0" applyFill="0" applyBorder="0" applyAlignment="0" applyProtection="0"/>
    <xf numFmtId="0" fontId="44" fillId="0" borderId="0" applyNumberFormat="0" applyFill="0" applyBorder="0" applyAlignment="0" applyProtection="0"/>
    <xf numFmtId="0" fontId="42" fillId="0" borderId="0"/>
    <xf numFmtId="9" fontId="17" fillId="0" borderId="0" applyFont="0" applyFill="0" applyBorder="0" applyAlignment="0" applyProtection="0"/>
  </cellStyleXfs>
  <cellXfs count="332">
    <xf numFmtId="0" fontId="0" fillId="0" borderId="0" xfId="0"/>
    <xf numFmtId="0" fontId="1" fillId="2" borderId="0" xfId="0" applyFont="1" applyFill="1" applyBorder="1" applyAlignment="1">
      <alignment horizontal="center" vertical="center" wrapText="1"/>
    </xf>
    <xf numFmtId="0" fontId="0" fillId="0" borderId="0" xfId="0" applyBorder="1"/>
    <xf numFmtId="0" fontId="1" fillId="0" borderId="0" xfId="0" applyFont="1" applyFill="1" applyBorder="1" applyAlignment="1">
      <alignment horizontal="center" vertical="center" wrapText="1"/>
    </xf>
    <xf numFmtId="0" fontId="1" fillId="2" borderId="0" xfId="0" applyFont="1" applyFill="1" applyBorder="1" applyAlignment="1">
      <alignment vertical="top" wrapText="1"/>
    </xf>
    <xf numFmtId="0" fontId="1" fillId="2" borderId="1" xfId="0" applyFont="1" applyFill="1" applyBorder="1" applyAlignment="1">
      <alignment horizontal="center" vertical="center" wrapText="1"/>
    </xf>
    <xf numFmtId="0" fontId="0" fillId="0" borderId="0" xfId="0" applyFill="1" applyBorder="1"/>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5" fillId="0" borderId="0" xfId="0" applyFont="1"/>
    <xf numFmtId="0" fontId="1" fillId="0" borderId="0" xfId="0" applyFont="1" applyFill="1" applyBorder="1" applyAlignment="1">
      <alignment vertical="center" wrapText="1"/>
    </xf>
    <xf numFmtId="0" fontId="6" fillId="3" borderId="2" xfId="0" applyFont="1" applyFill="1" applyBorder="1" applyAlignment="1">
      <alignment horizontal="right"/>
    </xf>
    <xf numFmtId="0" fontId="5" fillId="3" borderId="2" xfId="0" applyFont="1" applyFill="1" applyBorder="1" applyAlignment="1">
      <alignment vertical="center"/>
    </xf>
    <xf numFmtId="0" fontId="7" fillId="3" borderId="2" xfId="0" applyFont="1" applyFill="1" applyBorder="1" applyAlignment="1">
      <alignment horizontal="center" vertical="center"/>
    </xf>
    <xf numFmtId="0" fontId="8" fillId="0" borderId="0" xfId="0" applyFont="1"/>
    <xf numFmtId="49" fontId="0" fillId="0" borderId="0" xfId="0" applyNumberFormat="1"/>
    <xf numFmtId="0" fontId="0" fillId="0" borderId="0" xfId="0" applyNumberFormat="1"/>
    <xf numFmtId="1" fontId="0" fillId="0" borderId="0" xfId="0" applyNumberFormat="1"/>
    <xf numFmtId="164" fontId="0" fillId="0" borderId="0" xfId="0" applyNumberFormat="1"/>
    <xf numFmtId="0" fontId="0" fillId="0" borderId="0" xfId="0" applyFont="1"/>
    <xf numFmtId="0" fontId="44" fillId="3" borderId="2" xfId="2" applyFill="1" applyBorder="1"/>
    <xf numFmtId="0" fontId="0" fillId="0" borderId="0" xfId="0" applyAlignment="1">
      <alignmen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5" fillId="3" borderId="2" xfId="0" applyFont="1" applyFill="1" applyBorder="1" applyAlignment="1">
      <alignment horizontal="center" vertical="center" wrapText="1"/>
    </xf>
    <xf numFmtId="1" fontId="5" fillId="0" borderId="0" xfId="0" applyNumberFormat="1" applyFont="1"/>
    <xf numFmtId="0" fontId="1" fillId="2" borderId="2"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0" fillId="4" borderId="2" xfId="0" applyFill="1" applyBorder="1" applyAlignment="1">
      <alignment vertical="top" wrapText="1"/>
    </xf>
    <xf numFmtId="0" fontId="0" fillId="4" borderId="2" xfId="0" applyFill="1" applyBorder="1" applyAlignment="1">
      <alignment wrapText="1"/>
    </xf>
    <xf numFmtId="0" fontId="0" fillId="4" borderId="2" xfId="0" applyFill="1" applyBorder="1" applyAlignment="1">
      <alignment vertical="center"/>
    </xf>
    <xf numFmtId="0" fontId="0" fillId="4" borderId="0" xfId="0" applyFill="1"/>
    <xf numFmtId="0" fontId="0" fillId="3" borderId="0" xfId="0" applyFill="1"/>
    <xf numFmtId="0" fontId="9" fillId="0" borderId="0" xfId="0" applyFont="1" applyBorder="1"/>
    <xf numFmtId="0" fontId="0" fillId="4" borderId="2" xfId="0" applyFill="1" applyBorder="1" applyAlignment="1">
      <alignment vertical="top"/>
    </xf>
    <xf numFmtId="0" fontId="12" fillId="0" borderId="0" xfId="0" applyFont="1"/>
    <xf numFmtId="0" fontId="5" fillId="3" borderId="2" xfId="0" applyFont="1" applyFill="1" applyBorder="1" applyAlignment="1">
      <alignment horizontal="left"/>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44" fillId="4" borderId="2" xfId="2" applyFill="1" applyBorder="1" applyAlignment="1">
      <alignment horizontal="center" vertical="center"/>
    </xf>
    <xf numFmtId="0" fontId="44" fillId="4" borderId="4" xfId="2" applyFill="1" applyBorder="1" applyAlignment="1">
      <alignment horizontal="center" vertical="center" wrapText="1"/>
    </xf>
    <xf numFmtId="0" fontId="13" fillId="0" borderId="0" xfId="0" applyFont="1" applyBorder="1"/>
    <xf numFmtId="0" fontId="44" fillId="4" borderId="4" xfId="2" applyFill="1" applyBorder="1" applyAlignment="1">
      <alignment horizontal="center" vertical="center"/>
    </xf>
    <xf numFmtId="0" fontId="1" fillId="2" borderId="5" xfId="0" applyFont="1" applyFill="1" applyBorder="1" applyAlignment="1">
      <alignment horizontal="center" vertical="center" wrapText="1"/>
    </xf>
    <xf numFmtId="0" fontId="0" fillId="0" borderId="0" xfId="0" applyBorder="1" applyAlignment="1">
      <alignment wrapText="1"/>
    </xf>
    <xf numFmtId="0" fontId="5" fillId="0" borderId="0" xfId="0" applyNumberFormat="1" applyFont="1"/>
    <xf numFmtId="0" fontId="9" fillId="4" borderId="4" xfId="2" applyFont="1" applyFill="1" applyBorder="1" applyAlignment="1">
      <alignment horizontal="center" vertical="center"/>
    </xf>
    <xf numFmtId="0" fontId="9" fillId="4" borderId="2" xfId="0" applyFont="1" applyFill="1" applyBorder="1" applyAlignment="1">
      <alignment horizontal="left" vertical="top" wrapText="1"/>
    </xf>
    <xf numFmtId="0" fontId="1" fillId="2" borderId="4" xfId="0"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Font="1" applyFill="1" applyBorder="1"/>
    <xf numFmtId="0" fontId="0" fillId="4" borderId="6" xfId="0" applyFill="1" applyBorder="1" applyAlignment="1">
      <alignment vertical="top" wrapText="1"/>
    </xf>
    <xf numFmtId="0" fontId="1" fillId="0" borderId="0" xfId="0" applyFont="1" applyFill="1" applyBorder="1" applyAlignment="1">
      <alignment vertical="center"/>
    </xf>
    <xf numFmtId="0" fontId="1" fillId="2" borderId="7" xfId="0" applyFont="1" applyFill="1" applyBorder="1" applyAlignment="1">
      <alignment horizontal="center" vertical="top" wrapText="1"/>
    </xf>
    <xf numFmtId="0" fontId="0" fillId="4" borderId="2" xfId="0" applyFill="1" applyBorder="1" applyAlignment="1">
      <alignment horizontal="left" vertical="top" wrapText="1"/>
    </xf>
    <xf numFmtId="0" fontId="0" fillId="4" borderId="2" xfId="0" applyFont="1" applyFill="1" applyBorder="1" applyAlignment="1">
      <alignment vertical="top" wrapText="1"/>
    </xf>
    <xf numFmtId="0" fontId="0" fillId="4" borderId="0" xfId="0" applyFill="1" applyBorder="1" applyAlignment="1">
      <alignment wrapText="1"/>
    </xf>
    <xf numFmtId="0" fontId="0" fillId="0" borderId="0" xfId="0" applyFill="1" applyBorder="1" applyAlignment="1">
      <alignment wrapText="1"/>
    </xf>
    <xf numFmtId="0" fontId="0" fillId="4" borderId="8" xfId="0" applyFill="1" applyBorder="1" applyAlignment="1">
      <alignment horizontal="center" vertical="center" wrapText="1"/>
    </xf>
    <xf numFmtId="0" fontId="9" fillId="4" borderId="4" xfId="2" applyFont="1" applyFill="1" applyBorder="1" applyAlignment="1">
      <alignment horizontal="center" vertical="center" wrapText="1"/>
    </xf>
    <xf numFmtId="0" fontId="9" fillId="4" borderId="2" xfId="2"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1" fillId="2" borderId="10" xfId="0" applyFont="1" applyFill="1" applyBorder="1" applyAlignment="1"/>
    <xf numFmtId="0" fontId="44" fillId="4" borderId="11" xfId="2" applyFill="1" applyBorder="1" applyAlignment="1">
      <alignment horizontal="center" vertical="center" wrapText="1"/>
    </xf>
    <xf numFmtId="2" fontId="0" fillId="0" borderId="0" xfId="0" applyNumberFormat="1" applyBorder="1"/>
    <xf numFmtId="0" fontId="6" fillId="3" borderId="2" xfId="0" applyNumberFormat="1" applyFont="1" applyFill="1" applyBorder="1" applyAlignment="1">
      <alignment horizontal="right"/>
    </xf>
    <xf numFmtId="0" fontId="5" fillId="0" borderId="0" xfId="0" applyFont="1" applyFill="1"/>
    <xf numFmtId="0" fontId="9" fillId="0" borderId="0" xfId="0" applyFont="1" applyFill="1" applyBorder="1"/>
    <xf numFmtId="0" fontId="6" fillId="3" borderId="2" xfId="0" applyNumberFormat="1" applyFont="1" applyFill="1" applyBorder="1" applyAlignment="1">
      <alignment horizontal="center"/>
    </xf>
    <xf numFmtId="0" fontId="15" fillId="0" borderId="0" xfId="0" applyFont="1"/>
    <xf numFmtId="0" fontId="0" fillId="4" borderId="0" xfId="0" applyFill="1" applyBorder="1" applyAlignment="1">
      <alignment vertical="top" wrapText="1"/>
    </xf>
    <xf numFmtId="0" fontId="0" fillId="0" borderId="0" xfId="0" applyBorder="1" applyAlignment="1">
      <alignment horizontal="left"/>
    </xf>
    <xf numFmtId="0" fontId="44" fillId="4" borderId="8" xfId="2" applyFill="1" applyBorder="1" applyAlignment="1">
      <alignment horizontal="center" vertical="center" wrapText="1"/>
    </xf>
    <xf numFmtId="0" fontId="44" fillId="0" borderId="0" xfId="2"/>
    <xf numFmtId="0" fontId="44" fillId="4" borderId="11" xfId="2" applyFill="1" applyBorder="1" applyAlignment="1">
      <alignment horizontal="center" wrapText="1"/>
    </xf>
    <xf numFmtId="0" fontId="1" fillId="2" borderId="2" xfId="0" applyFont="1" applyFill="1" applyBorder="1" applyAlignment="1">
      <alignment horizontal="center" vertical="center"/>
    </xf>
    <xf numFmtId="0" fontId="0" fillId="5" borderId="0" xfId="0" applyFill="1"/>
    <xf numFmtId="0" fontId="0" fillId="0" borderId="0" xfId="0" applyAlignment="1">
      <alignment horizontal="right"/>
    </xf>
    <xf numFmtId="0" fontId="0" fillId="0" borderId="0" xfId="0" applyFill="1"/>
    <xf numFmtId="0" fontId="5" fillId="5" borderId="0" xfId="0" applyFont="1" applyFill="1"/>
    <xf numFmtId="0" fontId="0" fillId="0" borderId="0" xfId="0" applyAlignment="1">
      <alignment horizontal="left"/>
    </xf>
    <xf numFmtId="0" fontId="5" fillId="4" borderId="2" xfId="0" applyFont="1" applyFill="1" applyBorder="1"/>
    <xf numFmtId="0" fontId="1" fillId="2" borderId="12" xfId="0" applyNumberFormat="1" applyFont="1" applyFill="1" applyBorder="1" applyAlignment="1">
      <alignment horizontal="left"/>
    </xf>
    <xf numFmtId="0" fontId="14" fillId="3" borderId="2" xfId="0" applyNumberFormat="1" applyFont="1" applyFill="1" applyBorder="1" applyAlignment="1">
      <alignment horizontal="left"/>
    </xf>
    <xf numFmtId="0" fontId="5" fillId="3" borderId="6" xfId="0" applyFont="1" applyFill="1" applyBorder="1" applyAlignment="1">
      <alignment horizontal="center" vertical="center" wrapText="1"/>
    </xf>
    <xf numFmtId="0" fontId="1" fillId="2" borderId="6" xfId="0" applyNumberFormat="1" applyFont="1" applyFill="1" applyBorder="1" applyAlignment="1">
      <alignment horizontal="left"/>
    </xf>
    <xf numFmtId="0" fontId="5" fillId="3" borderId="2" xfId="0" applyNumberFormat="1" applyFont="1" applyFill="1" applyBorder="1" applyAlignment="1">
      <alignment horizontal="left"/>
    </xf>
    <xf numFmtId="0" fontId="14" fillId="3" borderId="2" xfId="0" applyNumberFormat="1" applyFont="1" applyFill="1" applyBorder="1" applyAlignment="1">
      <alignment horizontal="left" vertical="top"/>
    </xf>
    <xf numFmtId="0" fontId="0" fillId="3" borderId="0" xfId="0" applyFont="1" applyFill="1"/>
    <xf numFmtId="0" fontId="1" fillId="2" borderId="13" xfId="0" applyFont="1" applyFill="1" applyBorder="1" applyAlignment="1"/>
    <xf numFmtId="0" fontId="1" fillId="2" borderId="14" xfId="0" applyNumberFormat="1" applyFont="1" applyFill="1" applyBorder="1" applyAlignment="1">
      <alignment horizontal="left"/>
    </xf>
    <xf numFmtId="10" fontId="0" fillId="0" borderId="0" xfId="0" applyNumberFormat="1" applyFill="1"/>
    <xf numFmtId="10" fontId="0" fillId="0" borderId="0" xfId="0" applyNumberFormat="1"/>
    <xf numFmtId="2" fontId="0" fillId="0" borderId="0" xfId="0" applyNumberFormat="1"/>
    <xf numFmtId="0" fontId="9" fillId="3" borderId="5" xfId="0" applyFont="1"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9" fillId="3" borderId="2" xfId="0" applyFont="1" applyFill="1" applyBorder="1" applyAlignment="1" applyProtection="1">
      <alignment horizontal="left" vertical="top" wrapText="1"/>
      <protection locked="0"/>
    </xf>
    <xf numFmtId="0" fontId="0" fillId="3" borderId="2" xfId="0" applyFill="1" applyBorder="1" applyAlignment="1" applyProtection="1">
      <alignment vertical="top" wrapText="1"/>
      <protection locked="0"/>
    </xf>
    <xf numFmtId="2" fontId="0" fillId="3" borderId="2" xfId="0" applyNumberFormat="1" applyFill="1" applyBorder="1" applyAlignment="1" applyProtection="1">
      <alignment vertical="top" wrapText="1"/>
      <protection locked="0"/>
    </xf>
    <xf numFmtId="0" fontId="9" fillId="3" borderId="2" xfId="0" applyFont="1" applyFill="1" applyBorder="1" applyAlignment="1" applyProtection="1">
      <alignment horizontal="right" vertical="top" wrapText="1"/>
      <protection locked="0"/>
    </xf>
    <xf numFmtId="10" fontId="0" fillId="3" borderId="2" xfId="0" applyNumberFormat="1"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2" xfId="0" applyNumberFormat="1"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vertical="top" wrapText="1"/>
      <protection locked="0"/>
    </xf>
    <xf numFmtId="0" fontId="9" fillId="3" borderId="6" xfId="0" applyFont="1" applyFill="1" applyBorder="1" applyAlignment="1" applyProtection="1">
      <alignment horizontal="center" vertical="top" wrapText="1"/>
      <protection locked="0"/>
    </xf>
    <xf numFmtId="0" fontId="0" fillId="3" borderId="2" xfId="0" applyFill="1" applyBorder="1" applyAlignment="1" applyProtection="1">
      <alignment vertical="top"/>
      <protection locked="0"/>
    </xf>
    <xf numFmtId="0" fontId="5" fillId="0" borderId="0" xfId="0" applyFont="1" applyAlignment="1">
      <alignment horizontal="right"/>
    </xf>
    <xf numFmtId="2" fontId="5" fillId="0" borderId="0" xfId="0" applyNumberFormat="1" applyFont="1"/>
    <xf numFmtId="49" fontId="0" fillId="3" borderId="2" xfId="0" applyNumberFormat="1" applyFill="1" applyBorder="1" applyAlignment="1" applyProtection="1">
      <alignment vertical="top" wrapText="1"/>
      <protection locked="0"/>
    </xf>
    <xf numFmtId="0" fontId="0" fillId="3" borderId="2" xfId="0" applyNumberFormat="1" applyFill="1" applyBorder="1" applyAlignment="1" applyProtection="1">
      <alignment horizontal="left" vertical="top"/>
      <protection locked="0"/>
    </xf>
    <xf numFmtId="0" fontId="19" fillId="0" borderId="0" xfId="0" applyNumberFormat="1" applyFont="1" applyFill="1" applyBorder="1" applyAlignment="1">
      <alignment horizontal="center"/>
    </xf>
    <xf numFmtId="0" fontId="44" fillId="0" borderId="0" xfId="2" applyFill="1" applyBorder="1"/>
    <xf numFmtId="0" fontId="9" fillId="3" borderId="15" xfId="0" applyFont="1" applyFill="1" applyBorder="1" applyAlignment="1" applyProtection="1">
      <alignment horizontal="left" vertical="top" wrapText="1"/>
      <protection locked="0"/>
    </xf>
    <xf numFmtId="0" fontId="0" fillId="4" borderId="11" xfId="0" applyFill="1" applyBorder="1" applyAlignment="1">
      <alignment horizontal="center" vertical="center" wrapText="1"/>
    </xf>
    <xf numFmtId="0" fontId="0" fillId="0" borderId="0" xfId="0" applyAlignment="1">
      <alignment vertical="top" wrapText="1"/>
    </xf>
    <xf numFmtId="0" fontId="0" fillId="3" borderId="6" xfId="0" applyFill="1" applyBorder="1" applyAlignment="1" applyProtection="1">
      <alignment vertical="top"/>
      <protection locked="0"/>
    </xf>
    <xf numFmtId="0" fontId="0" fillId="3" borderId="6" xfId="0" applyNumberFormat="1" applyFill="1" applyBorder="1" applyAlignment="1" applyProtection="1">
      <alignment vertical="top"/>
      <protection locked="0"/>
    </xf>
    <xf numFmtId="0" fontId="0" fillId="3" borderId="16" xfId="0" applyNumberFormat="1" applyFill="1" applyBorder="1" applyAlignment="1" applyProtection="1">
      <alignment vertical="top"/>
      <protection locked="0"/>
    </xf>
    <xf numFmtId="0" fontId="0" fillId="3" borderId="2" xfId="0" applyFill="1" applyBorder="1" applyAlignment="1" applyProtection="1">
      <alignment horizontal="right" vertical="top" wrapText="1"/>
      <protection locked="0"/>
    </xf>
    <xf numFmtId="0" fontId="0" fillId="3" borderId="15" xfId="0" applyFill="1" applyBorder="1" applyAlignment="1" applyProtection="1">
      <alignment horizontal="right" vertical="top" wrapText="1"/>
      <protection locked="0"/>
    </xf>
    <xf numFmtId="2" fontId="0" fillId="4" borderId="2" xfId="0" applyNumberFormat="1" applyFill="1" applyBorder="1" applyAlignment="1">
      <alignment horizontal="left" vertical="top" wrapText="1"/>
    </xf>
    <xf numFmtId="0" fontId="20" fillId="4" borderId="12" xfId="0" applyFont="1" applyFill="1" applyBorder="1"/>
    <xf numFmtId="0" fontId="20" fillId="4" borderId="12" xfId="0" applyFont="1" applyFill="1" applyBorder="1" applyAlignment="1">
      <alignment horizontal="center" wrapText="1"/>
    </xf>
    <xf numFmtId="0" fontId="0" fillId="4" borderId="0" xfId="0" applyFill="1" applyAlignment="1">
      <alignment horizontal="center" vertical="center" wrapText="1"/>
    </xf>
    <xf numFmtId="0" fontId="20" fillId="4" borderId="12" xfId="0" applyFont="1" applyFill="1" applyBorder="1" applyAlignment="1">
      <alignment horizontal="center" vertical="center"/>
    </xf>
    <xf numFmtId="0" fontId="20" fillId="0" borderId="12" xfId="0" applyFont="1" applyFill="1" applyBorder="1"/>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1" fillId="5" borderId="12" xfId="0" applyFont="1" applyFill="1" applyBorder="1" applyAlignment="1">
      <alignment horizontal="left" indent="3"/>
    </xf>
    <xf numFmtId="0" fontId="21" fillId="0" borderId="12" xfId="0" applyFont="1" applyBorder="1" applyAlignment="1">
      <alignment horizontal="center" vertical="center"/>
    </xf>
    <xf numFmtId="0" fontId="0" fillId="0" borderId="0" xfId="0" applyAlignment="1">
      <alignment horizontal="center" vertical="center"/>
    </xf>
    <xf numFmtId="0" fontId="22" fillId="0" borderId="0" xfId="0" applyFont="1" applyAlignment="1"/>
    <xf numFmtId="0" fontId="44" fillId="0" borderId="0" xfId="2" applyAlignment="1">
      <alignment horizontal="center" vertical="center"/>
    </xf>
    <xf numFmtId="0" fontId="24" fillId="0" borderId="0" xfId="2" applyFont="1" applyAlignment="1"/>
    <xf numFmtId="0" fontId="25" fillId="0" borderId="0" xfId="0" applyFont="1" applyAlignment="1"/>
    <xf numFmtId="0" fontId="44" fillId="0" borderId="0" xfId="2" applyAlignment="1"/>
    <xf numFmtId="49" fontId="0" fillId="0" borderId="0" xfId="0" applyNumberFormat="1" applyAlignment="1">
      <alignment horizontal="center" vertical="center"/>
    </xf>
    <xf numFmtId="49" fontId="44" fillId="0" borderId="0" xfId="2" applyNumberFormat="1" applyAlignment="1">
      <alignment horizontal="center" vertical="center"/>
    </xf>
    <xf numFmtId="0" fontId="44" fillId="0" borderId="12" xfId="2" applyBorder="1" applyAlignment="1"/>
    <xf numFmtId="0" fontId="22" fillId="0" borderId="0" xfId="0" applyFont="1" applyFill="1" applyAlignment="1"/>
    <xf numFmtId="0" fontId="26" fillId="0" borderId="0" xfId="2" applyFont="1" applyAlignment="1"/>
    <xf numFmtId="0" fontId="27" fillId="0" borderId="0" xfId="0" applyFont="1" applyAlignment="1"/>
    <xf numFmtId="0" fontId="0" fillId="0" borderId="17" xfId="0" applyBorder="1" applyAlignment="1">
      <alignment horizontal="center" vertical="center"/>
    </xf>
    <xf numFmtId="0" fontId="44" fillId="0" borderId="17" xfId="2" applyBorder="1" applyAlignment="1">
      <alignment horizontal="center" vertical="center"/>
    </xf>
    <xf numFmtId="0" fontId="20" fillId="0" borderId="12" xfId="0" applyFont="1" applyBorder="1" applyAlignment="1">
      <alignment horizontal="center" vertical="center"/>
    </xf>
    <xf numFmtId="0" fontId="28" fillId="0" borderId="0" xfId="0" applyFont="1"/>
    <xf numFmtId="0" fontId="28" fillId="0" borderId="14" xfId="0" applyFont="1" applyBorder="1" applyAlignment="1">
      <alignment vertical="center" wrapText="1"/>
    </xf>
    <xf numFmtId="0" fontId="22" fillId="0" borderId="0" xfId="0" applyFont="1"/>
    <xf numFmtId="0" fontId="21" fillId="5" borderId="12" xfId="0" applyFont="1" applyFill="1" applyBorder="1" applyAlignment="1">
      <alignment horizontal="left"/>
    </xf>
    <xf numFmtId="0" fontId="44" fillId="0" borderId="0" xfId="2" applyBorder="1" applyAlignment="1"/>
    <xf numFmtId="0" fontId="0" fillId="0" borderId="0" xfId="0" applyFill="1" applyAlignment="1">
      <alignment horizontal="center" vertical="center"/>
    </xf>
    <xf numFmtId="0" fontId="25" fillId="0" borderId="0" xfId="0" applyFont="1"/>
    <xf numFmtId="0" fontId="20" fillId="4" borderId="12" xfId="0" applyFont="1" applyFill="1" applyBorder="1" applyAlignment="1">
      <alignment horizontal="left"/>
    </xf>
    <xf numFmtId="0" fontId="20" fillId="0" borderId="12" xfId="0" applyFont="1" applyFill="1" applyBorder="1" applyAlignment="1">
      <alignment horizontal="left"/>
    </xf>
    <xf numFmtId="0" fontId="22" fillId="0" borderId="0" xfId="0" applyFont="1" applyAlignment="1">
      <alignment wrapText="1"/>
    </xf>
    <xf numFmtId="0" fontId="29" fillId="0" borderId="0" xfId="0" applyFont="1"/>
    <xf numFmtId="0" fontId="20" fillId="0" borderId="0" xfId="0" applyFont="1" applyBorder="1" applyAlignment="1">
      <alignment horizontal="center" vertical="center"/>
    </xf>
    <xf numFmtId="0" fontId="30" fillId="0" borderId="12" xfId="0" applyFont="1" applyBorder="1" applyAlignment="1"/>
    <xf numFmtId="0" fontId="32" fillId="0" borderId="0" xfId="0" applyFont="1"/>
    <xf numFmtId="0" fontId="21" fillId="6" borderId="12" xfId="0" applyFont="1" applyFill="1" applyBorder="1" applyAlignment="1">
      <alignment horizontal="left" indent="3"/>
    </xf>
    <xf numFmtId="0" fontId="21" fillId="0" borderId="12" xfId="0" applyFont="1" applyFill="1" applyBorder="1" applyAlignment="1">
      <alignment horizontal="center" vertical="center"/>
    </xf>
    <xf numFmtId="0" fontId="0" fillId="6" borderId="0" xfId="0" applyFill="1" applyAlignment="1">
      <alignment horizontal="center" vertical="center"/>
    </xf>
    <xf numFmtId="0" fontId="44" fillId="0" borderId="0" xfId="2" applyAlignment="1">
      <alignment horizontal="left"/>
    </xf>
    <xf numFmtId="0" fontId="27" fillId="0" borderId="0" xfId="0" applyFont="1" applyAlignment="1">
      <alignment horizontal="left"/>
    </xf>
    <xf numFmtId="49" fontId="27" fillId="0" borderId="0" xfId="0" applyNumberFormat="1" applyFont="1" applyAlignment="1"/>
    <xf numFmtId="0" fontId="21" fillId="5" borderId="0" xfId="0" applyFont="1" applyFill="1"/>
    <xf numFmtId="0" fontId="26" fillId="0" borderId="0" xfId="0" applyFont="1" applyFill="1" applyAlignment="1">
      <alignment horizontal="center"/>
    </xf>
    <xf numFmtId="0" fontId="26" fillId="0" borderId="0" xfId="0" applyFont="1" applyFill="1" applyAlignment="1">
      <alignment horizontal="center" wrapText="1"/>
    </xf>
    <xf numFmtId="0" fontId="22" fillId="0" borderId="0" xfId="0" applyFont="1" applyBorder="1" applyAlignment="1"/>
    <xf numFmtId="0" fontId="33" fillId="0" borderId="0" xfId="0" applyFont="1"/>
    <xf numFmtId="0" fontId="29" fillId="0" borderId="0" xfId="0" applyFont="1" applyBorder="1" applyAlignment="1"/>
    <xf numFmtId="0" fontId="34" fillId="0" borderId="0" xfId="0" applyFont="1" applyFill="1" applyBorder="1" applyAlignment="1"/>
    <xf numFmtId="0" fontId="34" fillId="0" borderId="0" xfId="0" applyFont="1" applyBorder="1" applyAlignment="1"/>
    <xf numFmtId="0" fontId="24" fillId="0" borderId="0" xfId="2" applyFont="1" applyBorder="1" applyAlignment="1"/>
    <xf numFmtId="0" fontId="36" fillId="0" borderId="0" xfId="0" applyFont="1" applyAlignment="1"/>
    <xf numFmtId="0" fontId="22" fillId="0" borderId="0" xfId="0" applyFont="1" applyFill="1" applyBorder="1" applyAlignment="1"/>
    <xf numFmtId="0" fontId="22" fillId="0" borderId="0" xfId="0" applyFont="1" applyBorder="1"/>
    <xf numFmtId="10" fontId="0" fillId="0" borderId="0" xfId="0" applyNumberFormat="1" applyAlignment="1">
      <alignment horizontal="center" vertical="center"/>
    </xf>
    <xf numFmtId="10" fontId="22" fillId="0" borderId="0" xfId="4" applyNumberFormat="1" applyFont="1" applyFill="1" applyBorder="1" applyAlignment="1">
      <alignment wrapText="1"/>
    </xf>
    <xf numFmtId="3" fontId="0" fillId="0" borderId="0" xfId="0" applyNumberFormat="1" applyBorder="1" applyAlignment="1">
      <alignment wrapText="1"/>
    </xf>
    <xf numFmtId="0" fontId="0" fillId="0" borderId="0" xfId="0" applyNumberFormat="1" applyAlignment="1">
      <alignment horizontal="center" vertical="center"/>
    </xf>
    <xf numFmtId="0" fontId="22" fillId="0" borderId="0" xfId="0" applyFont="1" applyBorder="1" applyAlignment="1">
      <alignment wrapText="1"/>
    </xf>
    <xf numFmtId="0" fontId="34" fillId="0" borderId="0" xfId="0" applyNumberFormat="1" applyFont="1" applyBorder="1" applyAlignment="1"/>
    <xf numFmtId="0" fontId="44" fillId="0" borderId="0" xfId="2" applyFill="1" applyBorder="1" applyAlignment="1"/>
    <xf numFmtId="0" fontId="37" fillId="0" borderId="0" xfId="0" applyFont="1"/>
    <xf numFmtId="0" fontId="38" fillId="0" borderId="0" xfId="0" applyFont="1" applyAlignment="1"/>
    <xf numFmtId="0" fontId="40" fillId="0" borderId="0" xfId="2" applyFont="1" applyAlignment="1"/>
    <xf numFmtId="0" fontId="40" fillId="0" borderId="0" xfId="2" applyFont="1" applyAlignment="1">
      <alignment horizontal="left"/>
    </xf>
    <xf numFmtId="0" fontId="40" fillId="0" borderId="0" xfId="2" applyFont="1" applyFill="1" applyAlignment="1"/>
    <xf numFmtId="0" fontId="40" fillId="0" borderId="0" xfId="2" applyFont="1"/>
    <xf numFmtId="0" fontId="40" fillId="0" borderId="0" xfId="2" applyFont="1" applyFill="1" applyBorder="1" applyAlignment="1">
      <alignment horizontal="left"/>
    </xf>
    <xf numFmtId="0" fontId="40" fillId="0" borderId="0" xfId="2" applyFont="1" applyFill="1" applyAlignment="1">
      <alignment horizontal="left"/>
    </xf>
    <xf numFmtId="0" fontId="27" fillId="0" borderId="0" xfId="3" applyFont="1" applyFill="1" applyBorder="1" applyAlignment="1">
      <alignment horizontal="left"/>
    </xf>
    <xf numFmtId="0" fontId="39" fillId="0" borderId="0" xfId="2" applyFont="1" applyAlignment="1"/>
    <xf numFmtId="0" fontId="31" fillId="4" borderId="12" xfId="0" applyFont="1" applyFill="1" applyBorder="1" applyAlignment="1">
      <alignment horizontal="left"/>
    </xf>
    <xf numFmtId="0" fontId="31" fillId="4" borderId="12" xfId="0" applyFont="1" applyFill="1" applyBorder="1" applyAlignment="1">
      <alignment horizontal="center" vertical="center"/>
    </xf>
    <xf numFmtId="0" fontId="34" fillId="0" borderId="0" xfId="0" applyFont="1" applyBorder="1" applyAlignment="1">
      <alignment vertical="center"/>
    </xf>
    <xf numFmtId="0" fontId="34" fillId="0" borderId="0" xfId="0" applyFont="1" applyBorder="1" applyAlignment="1">
      <alignment vertical="center" wrapText="1"/>
    </xf>
    <xf numFmtId="0" fontId="34" fillId="0" borderId="0" xfId="0" applyFont="1" applyFill="1" applyBorder="1" applyAlignment="1">
      <alignment vertical="center" wrapText="1"/>
    </xf>
    <xf numFmtId="0" fontId="22" fillId="0" borderId="0" xfId="0" applyFont="1" applyBorder="1" applyAlignment="1">
      <alignment vertical="center" wrapText="1"/>
    </xf>
    <xf numFmtId="0" fontId="1" fillId="2" borderId="2" xfId="0" applyNumberFormat="1" applyFont="1" applyFill="1" applyBorder="1" applyAlignment="1">
      <alignment horizontal="left"/>
    </xf>
    <xf numFmtId="9" fontId="5" fillId="0" borderId="0" xfId="0" applyNumberFormat="1" applyFont="1"/>
    <xf numFmtId="9" fontId="0" fillId="0" borderId="0" xfId="0" applyNumberFormat="1"/>
    <xf numFmtId="0" fontId="5" fillId="3" borderId="4" xfId="0" applyFont="1" applyFill="1" applyBorder="1" applyAlignment="1">
      <alignment vertical="center"/>
    </xf>
    <xf numFmtId="0" fontId="5" fillId="3" borderId="4" xfId="0" applyFont="1" applyFill="1" applyBorder="1" applyAlignment="1">
      <alignment horizontal="center" vertical="center" wrapText="1"/>
    </xf>
    <xf numFmtId="0" fontId="1" fillId="2" borderId="2" xfId="0" applyFont="1" applyFill="1" applyBorder="1" applyAlignment="1"/>
    <xf numFmtId="0" fontId="5" fillId="3" borderId="3" xfId="0" applyFont="1" applyFill="1" applyBorder="1" applyAlignment="1">
      <alignment horizontal="center" vertical="center" wrapText="1"/>
    </xf>
    <xf numFmtId="0" fontId="1" fillId="2" borderId="10" xfId="0" applyFont="1" applyFill="1" applyBorder="1" applyAlignment="1">
      <alignment horizontal="left"/>
    </xf>
    <xf numFmtId="0" fontId="14" fillId="3" borderId="2" xfId="0" applyFont="1" applyFill="1" applyBorder="1" applyAlignment="1">
      <alignment horizontal="left"/>
    </xf>
    <xf numFmtId="0" fontId="6" fillId="3" borderId="2" xfId="1" applyNumberFormat="1" applyFont="1" applyFill="1" applyBorder="1" applyAlignment="1">
      <alignment horizontal="center"/>
    </xf>
    <xf numFmtId="0" fontId="1" fillId="2" borderId="0" xfId="0" applyFont="1" applyFill="1" applyBorder="1" applyAlignment="1">
      <alignment horizontal="left"/>
    </xf>
    <xf numFmtId="0" fontId="14" fillId="3" borderId="18" xfId="0" applyFont="1" applyFill="1" applyBorder="1" applyAlignment="1">
      <alignment horizontal="left"/>
    </xf>
    <xf numFmtId="0" fontId="6" fillId="3" borderId="6" xfId="1" applyNumberFormat="1" applyFont="1" applyFill="1" applyBorder="1" applyAlignment="1">
      <alignment horizontal="center"/>
    </xf>
    <xf numFmtId="0" fontId="14" fillId="3" borderId="6" xfId="0" applyFont="1" applyFill="1" applyBorder="1" applyAlignment="1">
      <alignment horizontal="left"/>
    </xf>
    <xf numFmtId="2" fontId="1" fillId="2" borderId="10" xfId="0" applyNumberFormat="1" applyFont="1" applyFill="1" applyBorder="1" applyAlignment="1">
      <alignment horizontal="left"/>
    </xf>
    <xf numFmtId="2" fontId="14" fillId="3" borderId="2" xfId="0" applyNumberFormat="1" applyFont="1" applyFill="1" applyBorder="1" applyAlignment="1">
      <alignment horizontal="left"/>
    </xf>
    <xf numFmtId="164" fontId="6" fillId="3" borderId="2" xfId="1" applyNumberFormat="1" applyFont="1" applyFill="1" applyBorder="1" applyAlignment="1">
      <alignment horizontal="center"/>
    </xf>
    <xf numFmtId="164" fontId="14" fillId="3" borderId="2" xfId="0" applyNumberFormat="1" applyFont="1" applyFill="1" applyBorder="1" applyAlignment="1">
      <alignment horizontal="left"/>
    </xf>
    <xf numFmtId="164" fontId="1" fillId="2" borderId="10" xfId="0" applyNumberFormat="1" applyFont="1" applyFill="1" applyBorder="1" applyAlignment="1">
      <alignment horizontal="left"/>
    </xf>
    <xf numFmtId="164" fontId="1" fillId="2" borderId="0" xfId="0" applyNumberFormat="1" applyFont="1" applyFill="1" applyBorder="1" applyAlignment="1">
      <alignment horizontal="left"/>
    </xf>
    <xf numFmtId="164" fontId="14" fillId="3" borderId="18" xfId="0" applyNumberFormat="1" applyFont="1" applyFill="1" applyBorder="1" applyAlignment="1">
      <alignment horizontal="left"/>
    </xf>
    <xf numFmtId="164" fontId="6" fillId="3" borderId="6" xfId="1" applyNumberFormat="1" applyFont="1" applyFill="1" applyBorder="1" applyAlignment="1">
      <alignment horizontal="center"/>
    </xf>
    <xf numFmtId="164" fontId="14" fillId="3" borderId="6" xfId="0" applyNumberFormat="1" applyFont="1" applyFill="1" applyBorder="1" applyAlignment="1">
      <alignment horizontal="left"/>
    </xf>
    <xf numFmtId="2" fontId="6" fillId="3" borderId="6" xfId="1" applyNumberFormat="1" applyFont="1" applyFill="1" applyBorder="1" applyAlignment="1">
      <alignment horizontal="center"/>
    </xf>
    <xf numFmtId="0" fontId="6" fillId="3" borderId="4" xfId="1" applyNumberFormat="1" applyFont="1" applyFill="1" applyBorder="1" applyAlignment="1">
      <alignment horizontal="center"/>
    </xf>
    <xf numFmtId="0" fontId="6" fillId="3" borderId="6" xfId="0" applyFont="1" applyFill="1" applyBorder="1" applyAlignment="1">
      <alignment horizontal="center"/>
    </xf>
    <xf numFmtId="2" fontId="1" fillId="2" borderId="12" xfId="0" applyNumberFormat="1" applyFont="1" applyFill="1" applyBorder="1" applyAlignment="1">
      <alignment horizontal="left"/>
    </xf>
    <xf numFmtId="2" fontId="14" fillId="3" borderId="6" xfId="0" applyNumberFormat="1" applyFont="1" applyFill="1" applyBorder="1" applyAlignment="1">
      <alignment horizontal="left"/>
    </xf>
    <xf numFmtId="164" fontId="1" fillId="2" borderId="12" xfId="0" applyNumberFormat="1" applyFont="1" applyFill="1" applyBorder="1" applyAlignment="1">
      <alignment horizontal="left"/>
    </xf>
    <xf numFmtId="2" fontId="14" fillId="3" borderId="18" xfId="0" applyNumberFormat="1" applyFont="1" applyFill="1" applyBorder="1" applyAlignment="1">
      <alignment horizontal="left"/>
    </xf>
    <xf numFmtId="164" fontId="6" fillId="3" borderId="2" xfId="0" applyNumberFormat="1" applyFont="1" applyFill="1" applyBorder="1" applyAlignment="1">
      <alignment horizontal="center"/>
    </xf>
    <xf numFmtId="0" fontId="6" fillId="3" borderId="2" xfId="0" applyFont="1" applyFill="1" applyBorder="1" applyAlignment="1">
      <alignment horizontal="center"/>
    </xf>
    <xf numFmtId="164" fontId="5" fillId="3" borderId="2" xfId="0" applyNumberFormat="1" applyFont="1" applyFill="1" applyBorder="1" applyAlignment="1">
      <alignment horizontal="left"/>
    </xf>
    <xf numFmtId="164" fontId="6" fillId="3" borderId="2" xfId="0" applyNumberFormat="1" applyFont="1" applyFill="1" applyBorder="1"/>
    <xf numFmtId="164" fontId="14" fillId="3" borderId="2" xfId="0" applyNumberFormat="1" applyFont="1" applyFill="1" applyBorder="1" applyAlignment="1">
      <alignment horizontal="left" vertical="top"/>
    </xf>
    <xf numFmtId="2" fontId="6" fillId="3" borderId="2" xfId="0" applyNumberFormat="1" applyFont="1" applyFill="1" applyBorder="1" applyAlignment="1">
      <alignment horizontal="center"/>
    </xf>
    <xf numFmtId="0" fontId="5" fillId="3" borderId="4" xfId="0" applyFont="1" applyFill="1" applyBorder="1" applyAlignment="1" applyProtection="1">
      <alignment horizontal="center" vertical="center"/>
      <protection locked="0"/>
    </xf>
    <xf numFmtId="2" fontId="0" fillId="3" borderId="2" xfId="0" applyNumberFormat="1" applyFill="1" applyBorder="1" applyAlignment="1" applyProtection="1">
      <alignment vertical="top" wrapText="1"/>
      <protection hidden="1"/>
    </xf>
    <xf numFmtId="2" fontId="0" fillId="3" borderId="2" xfId="0" applyNumberFormat="1" applyFill="1" applyBorder="1" applyAlignment="1" applyProtection="1">
      <alignment vertical="top"/>
      <protection hidden="1"/>
    </xf>
    <xf numFmtId="10" fontId="0" fillId="4" borderId="2" xfId="0" applyNumberFormat="1" applyFill="1" applyBorder="1" applyAlignment="1">
      <alignment horizontal="center" vertical="top" wrapText="1"/>
    </xf>
    <xf numFmtId="0" fontId="0" fillId="3" borderId="2" xfId="0" applyFill="1" applyBorder="1" applyAlignment="1" applyProtection="1">
      <alignment horizontal="center" vertical="top" wrapText="1"/>
      <protection locked="0"/>
    </xf>
    <xf numFmtId="166" fontId="0" fillId="4" borderId="2" xfId="0" applyNumberFormat="1" applyFill="1" applyBorder="1" applyAlignment="1">
      <alignment horizontal="center" vertical="top" wrapText="1"/>
    </xf>
    <xf numFmtId="10" fontId="0" fillId="3" borderId="2" xfId="0" applyNumberFormat="1" applyFill="1" applyBorder="1" applyAlignment="1" applyProtection="1">
      <alignment horizontal="center" vertical="top" wrapText="1"/>
      <protection locked="0"/>
    </xf>
    <xf numFmtId="0" fontId="1" fillId="2" borderId="2" xfId="0" applyNumberFormat="1" applyFont="1" applyFill="1" applyBorder="1" applyAlignment="1" applyProtection="1">
      <alignment horizontal="left"/>
      <protection hidden="1"/>
    </xf>
    <xf numFmtId="0" fontId="1" fillId="2" borderId="2" xfId="0" applyFont="1" applyFill="1" applyBorder="1" applyAlignment="1" applyProtection="1">
      <alignment horizontal="left"/>
      <protection hidden="1"/>
    </xf>
    <xf numFmtId="0" fontId="14" fillId="3" borderId="2" xfId="0" applyNumberFormat="1" applyFont="1" applyFill="1" applyBorder="1" applyAlignment="1" applyProtection="1">
      <alignment horizontal="left"/>
      <protection hidden="1"/>
    </xf>
    <xf numFmtId="43" fontId="6" fillId="3" borderId="2" xfId="1" applyFont="1" applyFill="1" applyBorder="1" applyAlignment="1" applyProtection="1">
      <alignment horizontal="center"/>
      <protection hidden="1"/>
    </xf>
    <xf numFmtId="43" fontId="0" fillId="3" borderId="2" xfId="0" applyNumberFormat="1" applyFont="1" applyFill="1" applyBorder="1" applyProtection="1">
      <protection hidden="1"/>
    </xf>
    <xf numFmtId="0" fontId="5" fillId="3" borderId="2" xfId="0" applyNumberFormat="1" applyFont="1" applyFill="1" applyBorder="1" applyAlignment="1" applyProtection="1">
      <alignment horizontal="left"/>
      <protection hidden="1"/>
    </xf>
    <xf numFmtId="0" fontId="1" fillId="2" borderId="12" xfId="0" applyNumberFormat="1" applyFont="1" applyFill="1" applyBorder="1" applyAlignment="1" applyProtection="1">
      <alignment horizontal="left"/>
      <protection hidden="1"/>
    </xf>
    <xf numFmtId="0" fontId="1" fillId="2" borderId="10" xfId="0" applyNumberFormat="1" applyFont="1" applyFill="1" applyBorder="1" applyAlignment="1" applyProtection="1">
      <alignment horizontal="left"/>
      <protection hidden="1"/>
    </xf>
    <xf numFmtId="0" fontId="14" fillId="3" borderId="6" xfId="0" applyNumberFormat="1" applyFont="1" applyFill="1" applyBorder="1" applyAlignment="1" applyProtection="1">
      <alignment horizontal="left"/>
      <protection hidden="1"/>
    </xf>
    <xf numFmtId="0" fontId="14" fillId="3" borderId="10" xfId="0" applyNumberFormat="1" applyFont="1" applyFill="1" applyBorder="1" applyAlignment="1" applyProtection="1">
      <alignment horizontal="left"/>
      <protection hidden="1"/>
    </xf>
    <xf numFmtId="43" fontId="0" fillId="3" borderId="2" xfId="0" applyNumberFormat="1" applyFont="1" applyFill="1" applyBorder="1" applyAlignment="1" applyProtection="1">
      <alignment horizontal="left"/>
      <protection hidden="1"/>
    </xf>
    <xf numFmtId="43" fontId="6" fillId="3" borderId="4" xfId="1" applyFont="1" applyFill="1" applyBorder="1" applyAlignment="1" applyProtection="1">
      <alignment horizontal="center"/>
      <protection hidden="1"/>
    </xf>
    <xf numFmtId="165" fontId="1" fillId="2" borderId="0" xfId="0" applyNumberFormat="1" applyFont="1" applyFill="1" applyBorder="1" applyAlignment="1" applyProtection="1">
      <alignment horizontal="left"/>
      <protection hidden="1"/>
    </xf>
    <xf numFmtId="0" fontId="14" fillId="3" borderId="18" xfId="0" applyNumberFormat="1" applyFont="1" applyFill="1" applyBorder="1" applyAlignment="1" applyProtection="1">
      <alignment horizontal="left"/>
      <protection hidden="1"/>
    </xf>
    <xf numFmtId="43" fontId="6" fillId="3" borderId="6" xfId="1" applyFont="1" applyFill="1" applyBorder="1" applyAlignment="1" applyProtection="1">
      <alignment horizontal="center"/>
      <protection hidden="1"/>
    </xf>
    <xf numFmtId="165" fontId="14" fillId="3" borderId="6" xfId="0" applyNumberFormat="1" applyFont="1" applyFill="1" applyBorder="1" applyAlignment="1" applyProtection="1">
      <alignment horizontal="left"/>
      <protection hidden="1"/>
    </xf>
    <xf numFmtId="165" fontId="14" fillId="3" borderId="2" xfId="0" applyNumberFormat="1" applyFont="1" applyFill="1" applyBorder="1" applyAlignment="1" applyProtection="1">
      <alignment horizontal="left"/>
      <protection hidden="1"/>
    </xf>
    <xf numFmtId="0" fontId="1" fillId="2" borderId="0" xfId="0" applyNumberFormat="1" applyFont="1" applyFill="1" applyBorder="1" applyAlignment="1" applyProtection="1">
      <alignment horizontal="left"/>
      <protection hidden="1"/>
    </xf>
    <xf numFmtId="0" fontId="1" fillId="2" borderId="0" xfId="0" applyFont="1" applyFill="1" applyBorder="1" applyAlignment="1" applyProtection="1">
      <alignment horizontal="center" vertical="center" wrapText="1"/>
      <protection hidden="1"/>
    </xf>
    <xf numFmtId="0" fontId="0" fillId="4" borderId="2" xfId="0" applyFill="1" applyBorder="1" applyAlignment="1" applyProtection="1">
      <alignment horizontal="center" vertical="center"/>
      <protection hidden="1"/>
    </xf>
    <xf numFmtId="164" fontId="0" fillId="4" borderId="2" xfId="0" applyNumberFormat="1" applyFill="1" applyBorder="1" applyAlignment="1" applyProtection="1">
      <alignment horizontal="center" vertical="center"/>
      <protection hidden="1"/>
    </xf>
    <xf numFmtId="0" fontId="0" fillId="0" borderId="0" xfId="0" applyBorder="1" applyProtection="1">
      <protection hidden="1"/>
    </xf>
    <xf numFmtId="164" fontId="0" fillId="4" borderId="1" xfId="0" applyNumberFormat="1" applyFill="1" applyBorder="1" applyAlignment="1" applyProtection="1">
      <alignment horizontal="center"/>
      <protection hidden="1"/>
    </xf>
    <xf numFmtId="1" fontId="0" fillId="4" borderId="2" xfId="0" applyNumberFormat="1" applyFill="1" applyBorder="1" applyAlignment="1" applyProtection="1">
      <alignment horizontal="center" vertical="center"/>
      <protection hidden="1"/>
    </xf>
    <xf numFmtId="0" fontId="0" fillId="4" borderId="2" xfId="0" applyNumberFormat="1" applyFill="1" applyBorder="1" applyAlignment="1" applyProtection="1">
      <alignment horizontal="center" vertical="center"/>
      <protection hidden="1"/>
    </xf>
    <xf numFmtId="2" fontId="0" fillId="4" borderId="2" xfId="0" applyNumberFormat="1" applyFill="1" applyBorder="1" applyAlignment="1" applyProtection="1">
      <alignment horizontal="center" vertical="center"/>
      <protection hidden="1"/>
    </xf>
    <xf numFmtId="0" fontId="0" fillId="4" borderId="1" xfId="0" applyFill="1" applyBorder="1" applyAlignment="1" applyProtection="1">
      <alignment horizontal="center"/>
      <protection hidden="1"/>
    </xf>
    <xf numFmtId="1" fontId="0" fillId="4" borderId="1" xfId="0" applyNumberFormat="1" applyFill="1" applyBorder="1" applyAlignment="1" applyProtection="1">
      <alignment horizontal="center"/>
      <protection hidden="1"/>
    </xf>
    <xf numFmtId="0" fontId="0" fillId="0" borderId="0" xfId="0" applyFill="1" applyBorder="1" applyProtection="1">
      <protection hidden="1"/>
    </xf>
    <xf numFmtId="0" fontId="9" fillId="4" borderId="2" xfId="0" applyFont="1" applyFill="1" applyBorder="1" applyAlignment="1" applyProtection="1">
      <alignment horizontal="center" vertical="center" wrapText="1"/>
      <protection hidden="1"/>
    </xf>
    <xf numFmtId="0" fontId="0" fillId="0" borderId="0" xfId="0" applyBorder="1" applyAlignment="1" applyProtection="1">
      <alignment horizontal="center"/>
      <protection hidden="1"/>
    </xf>
    <xf numFmtId="0" fontId="0" fillId="4" borderId="1" xfId="0" applyFill="1" applyBorder="1" applyProtection="1">
      <protection hidden="1"/>
    </xf>
    <xf numFmtId="164" fontId="0" fillId="4" borderId="1" xfId="0" applyNumberFormat="1" applyFill="1" applyBorder="1" applyProtection="1">
      <protection hidden="1"/>
    </xf>
    <xf numFmtId="2" fontId="0" fillId="4" borderId="1" xfId="0" applyNumberFormat="1" applyFill="1" applyBorder="1" applyAlignment="1" applyProtection="1">
      <alignment horizontal="center"/>
      <protection hidden="1"/>
    </xf>
    <xf numFmtId="0" fontId="9" fillId="3" borderId="2"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wrapText="1"/>
      <protection locked="0"/>
    </xf>
    <xf numFmtId="0" fontId="0" fillId="3" borderId="2" xfId="0" applyFill="1" applyBorder="1" applyProtection="1">
      <protection locked="0"/>
    </xf>
    <xf numFmtId="3" fontId="0" fillId="3" borderId="2" xfId="0" applyNumberFormat="1" applyFill="1" applyBorder="1" applyProtection="1">
      <protection locked="0"/>
    </xf>
    <xf numFmtId="0" fontId="1" fillId="2" borderId="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2" borderId="0"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9" fillId="4" borderId="21"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4" borderId="25" xfId="0" applyFill="1" applyBorder="1" applyAlignment="1">
      <alignment horizontal="center" vertical="top" wrapText="1"/>
    </xf>
    <xf numFmtId="0" fontId="0" fillId="4" borderId="2" xfId="0" applyFill="1" applyBorder="1" applyAlignment="1">
      <alignment horizontal="center" vertical="top" wrapText="1"/>
    </xf>
    <xf numFmtId="0" fontId="0" fillId="4" borderId="26" xfId="0" applyFill="1" applyBorder="1" applyAlignment="1">
      <alignment horizontal="center" vertical="top" wrapText="1"/>
    </xf>
    <xf numFmtId="0" fontId="0" fillId="4" borderId="15" xfId="0" applyFill="1" applyBorder="1" applyAlignment="1">
      <alignment horizontal="center" vertical="top" wrapText="1"/>
    </xf>
    <xf numFmtId="0" fontId="9" fillId="4" borderId="2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0" fillId="3" borderId="2" xfId="0" applyFill="1" applyBorder="1" applyAlignment="1" applyProtection="1">
      <alignment horizontal="left" vertical="top" wrapText="1"/>
      <protection hidden="1"/>
    </xf>
    <xf numFmtId="0" fontId="9" fillId="3" borderId="10" xfId="0" applyFont="1" applyFill="1" applyBorder="1" applyAlignment="1" applyProtection="1">
      <alignment horizontal="left" vertical="top" wrapText="1"/>
      <protection hidden="1"/>
    </xf>
    <xf numFmtId="0" fontId="9" fillId="3" borderId="12" xfId="0" applyFont="1" applyFill="1" applyBorder="1" applyAlignment="1" applyProtection="1">
      <alignment horizontal="left" vertical="top" wrapText="1"/>
      <protection hidden="1"/>
    </xf>
    <xf numFmtId="0" fontId="9" fillId="3" borderId="6" xfId="0" applyFont="1" applyFill="1" applyBorder="1" applyAlignment="1" applyProtection="1">
      <alignment horizontal="left" vertical="top" wrapText="1"/>
      <protection hidden="1"/>
    </xf>
    <xf numFmtId="0" fontId="0" fillId="3" borderId="10" xfId="0" applyFill="1" applyBorder="1" applyAlignment="1" applyProtection="1">
      <alignment horizontal="left" vertical="top" wrapText="1"/>
      <protection hidden="1"/>
    </xf>
    <xf numFmtId="0" fontId="0" fillId="3" borderId="6" xfId="0" applyFill="1" applyBorder="1" applyAlignment="1" applyProtection="1">
      <alignment horizontal="left" vertical="top" wrapText="1"/>
      <protection hidden="1"/>
    </xf>
    <xf numFmtId="0" fontId="1" fillId="2" borderId="29" xfId="0" applyFont="1" applyFill="1" applyBorder="1" applyAlignment="1">
      <alignment horizontal="center" vertical="center"/>
    </xf>
    <xf numFmtId="0" fontId="7" fillId="3" borderId="2" xfId="0" applyFont="1" applyFill="1" applyBorder="1" applyAlignment="1">
      <alignment horizontal="center" vertical="center"/>
    </xf>
    <xf numFmtId="0" fontId="5" fillId="3" borderId="2" xfId="0" applyFont="1" applyFill="1" applyBorder="1" applyAlignment="1">
      <alignment horizontal="center"/>
    </xf>
    <xf numFmtId="0" fontId="0" fillId="3" borderId="10" xfId="0" applyFill="1" applyBorder="1" applyAlignment="1" applyProtection="1">
      <alignment horizontal="left"/>
      <protection hidden="1"/>
    </xf>
    <xf numFmtId="0" fontId="0" fillId="3" borderId="6" xfId="0" applyFill="1" applyBorder="1" applyAlignment="1" applyProtection="1">
      <alignment horizontal="left"/>
      <protection hidden="1"/>
    </xf>
    <xf numFmtId="0" fontId="0" fillId="3" borderId="10"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18" fillId="7" borderId="0" xfId="0" applyFont="1" applyFill="1" applyAlignment="1">
      <alignment horizontal="center"/>
    </xf>
    <xf numFmtId="0" fontId="18" fillId="8" borderId="0" xfId="0" applyFont="1" applyFill="1" applyAlignment="1">
      <alignment horizontal="center"/>
    </xf>
    <xf numFmtId="0" fontId="1" fillId="2" borderId="3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Alignment="1">
      <alignment horizontal="center"/>
    </xf>
  </cellXfs>
  <cellStyles count="5">
    <cellStyle name="Comma" xfId="1" builtinId="3"/>
    <cellStyle name="Hyperlink" xfId="2" builtinId="8"/>
    <cellStyle name="Normal" xfId="0" builtinId="0"/>
    <cellStyle name="Normal 2" xfId="3"/>
    <cellStyle name="Percent" xfId="4" builtinId="5"/>
  </cellStyles>
  <dxfs count="3">
    <dxf>
      <font>
        <color theme="4" tint="0.79998168889431442"/>
      </font>
    </dxf>
    <dxf>
      <font>
        <color theme="4" tint="0.79998168889431442"/>
      </font>
    </dxf>
    <dxf>
      <fill>
        <patternFill>
          <bgColor theme="4" tint="0.59996337778862885"/>
        </patternFill>
      </fill>
    </dxf>
  </dxfs>
  <tableStyles count="1" defaultTableStyle="TableStyleMedium2" defaultPivotStyle="PivotStyleLight16">
    <tableStyle name="Table Style 1" pivot="0" count="0"/>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Energy</a:t>
            </a:r>
            <a:r>
              <a:rPr lang="en-US" baseline="0"/>
              <a:t> Efficiency Peer Community Comparison</a:t>
            </a:r>
          </a:p>
        </c:rich>
      </c:tx>
      <c:spPr>
        <a:noFill/>
        <a:ln w="25400">
          <a:noFill/>
        </a:ln>
      </c:spPr>
    </c:title>
    <c:plotArea>
      <c:layout/>
      <c:barChart>
        <c:barDir val="bar"/>
        <c:grouping val="stacked"/>
        <c:ser>
          <c:idx val="0"/>
          <c:order val="0"/>
          <c:tx>
            <c:strRef>
              <c:f>'Intro Chart Data'!$C$3</c:f>
              <c:strCache>
                <c:ptCount val="1"/>
                <c:pt idx="0">
                  <c:v>Local Government</c:v>
                </c:pt>
              </c:strCache>
            </c:strRef>
          </c:tx>
          <c:dLbls>
            <c:spPr>
              <a:noFill/>
              <a:ln w="25400">
                <a:noFill/>
              </a:ln>
            </c:spPr>
            <c:showVal val="1"/>
          </c:dLbls>
          <c:cat>
            <c:strRef>
              <c:f>'Intro Chart Data'!$D$2:$L$2</c:f>
              <c:strCache>
                <c:ptCount val="9"/>
                <c:pt idx="0">
                  <c:v>Burlington</c:v>
                </c:pt>
                <c:pt idx="1">
                  <c:v>Arlington County, VA</c:v>
                </c:pt>
                <c:pt idx="2">
                  <c:v>Boulder, CO</c:v>
                </c:pt>
                <c:pt idx="3">
                  <c:v>Burlington, VT</c:v>
                </c:pt>
                <c:pt idx="4">
                  <c:v>Dubuque, IA</c:v>
                </c:pt>
                <c:pt idx="5">
                  <c:v>Knoxville, TN</c:v>
                </c:pt>
                <c:pt idx="6">
                  <c:v>Lawrence, KS</c:v>
                </c:pt>
                <c:pt idx="7">
                  <c:v>Madison, WI</c:v>
                </c:pt>
                <c:pt idx="8">
                  <c:v>Park City, UT</c:v>
                </c:pt>
              </c:strCache>
            </c:strRef>
          </c:cat>
          <c:val>
            <c:numRef>
              <c:f>'Intro Chart Data'!$D$3:$L$3</c:f>
              <c:numCache>
                <c:formatCode>General</c:formatCode>
                <c:ptCount val="9"/>
                <c:pt idx="0">
                  <c:v>1.5</c:v>
                </c:pt>
                <c:pt idx="1">
                  <c:v>6</c:v>
                </c:pt>
                <c:pt idx="2">
                  <c:v>6.5</c:v>
                </c:pt>
                <c:pt idx="3">
                  <c:v>1.5</c:v>
                </c:pt>
                <c:pt idx="4">
                  <c:v>2.5</c:v>
                </c:pt>
                <c:pt idx="5">
                  <c:v>3.5</c:v>
                </c:pt>
                <c:pt idx="6">
                  <c:v>1</c:v>
                </c:pt>
                <c:pt idx="7">
                  <c:v>2</c:v>
                </c:pt>
                <c:pt idx="8">
                  <c:v>3.5</c:v>
                </c:pt>
              </c:numCache>
            </c:numRef>
          </c:val>
        </c:ser>
        <c:ser>
          <c:idx val="1"/>
          <c:order val="1"/>
          <c:tx>
            <c:strRef>
              <c:f>'Intro Chart Data'!$C$4</c:f>
              <c:strCache>
                <c:ptCount val="1"/>
                <c:pt idx="0">
                  <c:v>Community-Wide</c:v>
                </c:pt>
              </c:strCache>
            </c:strRef>
          </c:tx>
          <c:dLbls>
            <c:spPr>
              <a:noFill/>
              <a:ln w="25400">
                <a:noFill/>
              </a:ln>
            </c:spPr>
            <c:showVal val="1"/>
          </c:dLbls>
          <c:cat>
            <c:strRef>
              <c:f>'Intro Chart Data'!$D$2:$L$2</c:f>
              <c:strCache>
                <c:ptCount val="9"/>
                <c:pt idx="0">
                  <c:v>Burlington</c:v>
                </c:pt>
                <c:pt idx="1">
                  <c:v>Arlington County, VA</c:v>
                </c:pt>
                <c:pt idx="2">
                  <c:v>Boulder, CO</c:v>
                </c:pt>
                <c:pt idx="3">
                  <c:v>Burlington, VT</c:v>
                </c:pt>
                <c:pt idx="4">
                  <c:v>Dubuque, IA</c:v>
                </c:pt>
                <c:pt idx="5">
                  <c:v>Knoxville, TN</c:v>
                </c:pt>
                <c:pt idx="6">
                  <c:v>Lawrence, KS</c:v>
                </c:pt>
                <c:pt idx="7">
                  <c:v>Madison, WI</c:v>
                </c:pt>
                <c:pt idx="8">
                  <c:v>Park City, UT</c:v>
                </c:pt>
              </c:strCache>
            </c:strRef>
          </c:cat>
          <c:val>
            <c:numRef>
              <c:f>'Intro Chart Data'!$D$4:$L$4</c:f>
              <c:numCache>
                <c:formatCode>General</c:formatCode>
                <c:ptCount val="9"/>
                <c:pt idx="0">
                  <c:v>2.5</c:v>
                </c:pt>
                <c:pt idx="1">
                  <c:v>3</c:v>
                </c:pt>
                <c:pt idx="2">
                  <c:v>2.5</c:v>
                </c:pt>
                <c:pt idx="3">
                  <c:v>2.5</c:v>
                </c:pt>
                <c:pt idx="4">
                  <c:v>3</c:v>
                </c:pt>
                <c:pt idx="5">
                  <c:v>1</c:v>
                </c:pt>
                <c:pt idx="6">
                  <c:v>1</c:v>
                </c:pt>
                <c:pt idx="7">
                  <c:v>2.5</c:v>
                </c:pt>
                <c:pt idx="8">
                  <c:v>2.5</c:v>
                </c:pt>
              </c:numCache>
            </c:numRef>
          </c:val>
        </c:ser>
        <c:ser>
          <c:idx val="2"/>
          <c:order val="2"/>
          <c:tx>
            <c:strRef>
              <c:f>'Intro Chart Data'!$C$5</c:f>
              <c:strCache>
                <c:ptCount val="1"/>
                <c:pt idx="0">
                  <c:v>Buildings</c:v>
                </c:pt>
              </c:strCache>
            </c:strRef>
          </c:tx>
          <c:dLbls>
            <c:spPr>
              <a:noFill/>
              <a:ln w="25400">
                <a:noFill/>
              </a:ln>
            </c:spPr>
            <c:showVal val="1"/>
          </c:dLbls>
          <c:cat>
            <c:strRef>
              <c:f>'Intro Chart Data'!$D$2:$L$2</c:f>
              <c:strCache>
                <c:ptCount val="9"/>
                <c:pt idx="0">
                  <c:v>Burlington</c:v>
                </c:pt>
                <c:pt idx="1">
                  <c:v>Arlington County, VA</c:v>
                </c:pt>
                <c:pt idx="2">
                  <c:v>Boulder, CO</c:v>
                </c:pt>
                <c:pt idx="3">
                  <c:v>Burlington, VT</c:v>
                </c:pt>
                <c:pt idx="4">
                  <c:v>Dubuque, IA</c:v>
                </c:pt>
                <c:pt idx="5">
                  <c:v>Knoxville, TN</c:v>
                </c:pt>
                <c:pt idx="6">
                  <c:v>Lawrence, KS</c:v>
                </c:pt>
                <c:pt idx="7">
                  <c:v>Madison, WI</c:v>
                </c:pt>
                <c:pt idx="8">
                  <c:v>Park City, UT</c:v>
                </c:pt>
              </c:strCache>
            </c:strRef>
          </c:cat>
          <c:val>
            <c:numRef>
              <c:f>'Intro Chart Data'!$D$5:$L$5</c:f>
              <c:numCache>
                <c:formatCode>General</c:formatCode>
                <c:ptCount val="9"/>
                <c:pt idx="0">
                  <c:v>#N/A</c:v>
                </c:pt>
                <c:pt idx="1">
                  <c:v>#N/A</c:v>
                </c:pt>
                <c:pt idx="2">
                  <c:v>#N/A</c:v>
                </c:pt>
                <c:pt idx="3">
                  <c:v>#N/A</c:v>
                </c:pt>
                <c:pt idx="4">
                  <c:v>#N/A</c:v>
                </c:pt>
                <c:pt idx="5">
                  <c:v>#N/A</c:v>
                </c:pt>
                <c:pt idx="6">
                  <c:v>#N/A</c:v>
                </c:pt>
                <c:pt idx="7">
                  <c:v>#N/A</c:v>
                </c:pt>
                <c:pt idx="8">
                  <c:v>#N/A</c:v>
                </c:pt>
              </c:numCache>
            </c:numRef>
          </c:val>
        </c:ser>
        <c:ser>
          <c:idx val="3"/>
          <c:order val="3"/>
          <c:tx>
            <c:strRef>
              <c:f>'Intro Chart Data'!$C$6</c:f>
              <c:strCache>
                <c:ptCount val="1"/>
                <c:pt idx="0">
                  <c:v>Utility</c:v>
                </c:pt>
              </c:strCache>
            </c:strRef>
          </c:tx>
          <c:dLbls>
            <c:spPr>
              <a:noFill/>
              <a:ln w="25400">
                <a:noFill/>
              </a:ln>
            </c:spPr>
            <c:showVal val="1"/>
          </c:dLbls>
          <c:cat>
            <c:strRef>
              <c:f>'Intro Chart Data'!$D$2:$L$2</c:f>
              <c:strCache>
                <c:ptCount val="9"/>
                <c:pt idx="0">
                  <c:v>Burlington</c:v>
                </c:pt>
                <c:pt idx="1">
                  <c:v>Arlington County, VA</c:v>
                </c:pt>
                <c:pt idx="2">
                  <c:v>Boulder, CO</c:v>
                </c:pt>
                <c:pt idx="3">
                  <c:v>Burlington, VT</c:v>
                </c:pt>
                <c:pt idx="4">
                  <c:v>Dubuque, IA</c:v>
                </c:pt>
                <c:pt idx="5">
                  <c:v>Knoxville, TN</c:v>
                </c:pt>
                <c:pt idx="6">
                  <c:v>Lawrence, KS</c:v>
                </c:pt>
                <c:pt idx="7">
                  <c:v>Madison, WI</c:v>
                </c:pt>
                <c:pt idx="8">
                  <c:v>Park City, UT</c:v>
                </c:pt>
              </c:strCache>
            </c:strRef>
          </c:cat>
          <c:val>
            <c:numRef>
              <c:f>'Intro Chart Data'!$D$6:$L$6</c:f>
              <c:numCache>
                <c:formatCode>General</c:formatCode>
                <c:ptCount val="9"/>
                <c:pt idx="0">
                  <c:v>0</c:v>
                </c:pt>
                <c:pt idx="1">
                  <c:v>1.75</c:v>
                </c:pt>
                <c:pt idx="2">
                  <c:v>6</c:v>
                </c:pt>
                <c:pt idx="3">
                  <c:v>4.5</c:v>
                </c:pt>
                <c:pt idx="4">
                  <c:v>3</c:v>
                </c:pt>
                <c:pt idx="5">
                  <c:v>1</c:v>
                </c:pt>
                <c:pt idx="6">
                  <c:v>3.75</c:v>
                </c:pt>
                <c:pt idx="7">
                  <c:v>3.5</c:v>
                </c:pt>
                <c:pt idx="8">
                  <c:v>6.75</c:v>
                </c:pt>
              </c:numCache>
            </c:numRef>
          </c:val>
        </c:ser>
        <c:ser>
          <c:idx val="4"/>
          <c:order val="4"/>
          <c:tx>
            <c:strRef>
              <c:f>'Intro Chart Data'!$C$7</c:f>
              <c:strCache>
                <c:ptCount val="1"/>
                <c:pt idx="0">
                  <c:v>Transportation</c:v>
                </c:pt>
              </c:strCache>
            </c:strRef>
          </c:tx>
          <c:dLbls>
            <c:spPr>
              <a:noFill/>
              <a:ln w="25400">
                <a:noFill/>
              </a:ln>
            </c:spPr>
            <c:showVal val="1"/>
          </c:dLbls>
          <c:cat>
            <c:strRef>
              <c:f>'Intro Chart Data'!$D$2:$L$2</c:f>
              <c:strCache>
                <c:ptCount val="9"/>
                <c:pt idx="0">
                  <c:v>Burlington</c:v>
                </c:pt>
                <c:pt idx="1">
                  <c:v>Arlington County, VA</c:v>
                </c:pt>
                <c:pt idx="2">
                  <c:v>Boulder, CO</c:v>
                </c:pt>
                <c:pt idx="3">
                  <c:v>Burlington, VT</c:v>
                </c:pt>
                <c:pt idx="4">
                  <c:v>Dubuque, IA</c:v>
                </c:pt>
                <c:pt idx="5">
                  <c:v>Knoxville, TN</c:v>
                </c:pt>
                <c:pt idx="6">
                  <c:v>Lawrence, KS</c:v>
                </c:pt>
                <c:pt idx="7">
                  <c:v>Madison, WI</c:v>
                </c:pt>
                <c:pt idx="8">
                  <c:v>Park City, UT</c:v>
                </c:pt>
              </c:strCache>
            </c:strRef>
          </c:cat>
          <c:val>
            <c:numRef>
              <c:f>'Intro Chart Data'!$D$7:$L$7</c:f>
              <c:numCache>
                <c:formatCode>General</c:formatCode>
                <c:ptCount val="9"/>
                <c:pt idx="0">
                  <c:v>0</c:v>
                </c:pt>
                <c:pt idx="1">
                  <c:v>12.25</c:v>
                </c:pt>
                <c:pt idx="2">
                  <c:v>8.5</c:v>
                </c:pt>
                <c:pt idx="3">
                  <c:v>6</c:v>
                </c:pt>
                <c:pt idx="4">
                  <c:v>6.75</c:v>
                </c:pt>
                <c:pt idx="5">
                  <c:v>11.25</c:v>
                </c:pt>
                <c:pt idx="6">
                  <c:v>4.75</c:v>
                </c:pt>
                <c:pt idx="7">
                  <c:v>7</c:v>
                </c:pt>
                <c:pt idx="8">
                  <c:v>5.25</c:v>
                </c:pt>
              </c:numCache>
            </c:numRef>
          </c:val>
        </c:ser>
        <c:gapWidth val="75"/>
        <c:overlap val="100"/>
        <c:axId val="34371840"/>
        <c:axId val="34390016"/>
      </c:barChart>
      <c:catAx>
        <c:axId val="34371840"/>
        <c:scaling>
          <c:orientation val="minMax"/>
        </c:scaling>
        <c:axPos val="l"/>
        <c:numFmt formatCode="General" sourceLinked="0"/>
        <c:majorTickMark val="none"/>
        <c:tickLblPos val="nextTo"/>
        <c:crossAx val="34390016"/>
        <c:crosses val="autoZero"/>
        <c:auto val="1"/>
        <c:lblAlgn val="ctr"/>
        <c:lblOffset val="100"/>
      </c:catAx>
      <c:valAx>
        <c:axId val="34390016"/>
        <c:scaling>
          <c:orientation val="minMax"/>
          <c:max val="100"/>
        </c:scaling>
        <c:axPos val="b"/>
        <c:majorGridlines/>
        <c:numFmt formatCode="General" sourceLinked="1"/>
        <c:majorTickMark val="none"/>
        <c:tickLblPos val="nextTo"/>
        <c:spPr>
          <a:ln w="9525">
            <a:noFill/>
          </a:ln>
        </c:spPr>
        <c:crossAx val="34371840"/>
        <c:crosses val="autoZero"/>
        <c:crossBetween val="between"/>
      </c:valAx>
    </c:plotArea>
    <c:legend>
      <c:legendPos val="r"/>
      <c:layout>
        <c:manualLayout>
          <c:xMode val="edge"/>
          <c:yMode val="edge"/>
          <c:x val="0.33503195133109553"/>
          <c:y val="0.92534038874742464"/>
          <c:w val="0.32866252259856521"/>
          <c:h val="5.429870251818629E-2"/>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38100</xdr:colOff>
      <xdr:row>4</xdr:row>
      <xdr:rowOff>123826</xdr:rowOff>
    </xdr:from>
    <xdr:to>
      <xdr:col>8</xdr:col>
      <xdr:colOff>1285875</xdr:colOff>
      <xdr:row>15</xdr:row>
      <xdr:rowOff>19050</xdr:rowOff>
    </xdr:to>
    <xdr:sp macro="" textlink="">
      <xdr:nvSpPr>
        <xdr:cNvPr id="2" name="TextBox 1"/>
        <xdr:cNvSpPr txBox="1"/>
      </xdr:nvSpPr>
      <xdr:spPr>
        <a:xfrm>
          <a:off x="1257300" y="1095376"/>
          <a:ext cx="9115425" cy="199072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Introduction</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This tool is the result of </a:t>
          </a:r>
          <a:r>
            <a:rPr lang="en-US" sz="1100">
              <a:solidFill>
                <a:schemeClr val="dk1"/>
              </a:solidFill>
              <a:effectLst/>
              <a:latin typeface="+mn-lt"/>
              <a:ea typeface="+mn-ea"/>
              <a:cs typeface="+mn-cs"/>
            </a:rPr>
            <a:t>ACEEE's efforts to translate the metrics of the </a:t>
          </a:r>
          <a:r>
            <a:rPr lang="en-US" sz="1100" i="1">
              <a:solidFill>
                <a:schemeClr val="dk1"/>
              </a:solidFill>
              <a:effectLst/>
              <a:latin typeface="+mn-lt"/>
              <a:ea typeface="+mn-ea"/>
              <a:cs typeface="+mn-cs"/>
            </a:rPr>
            <a:t>City Energy Efficiency Scorecard </a:t>
          </a:r>
          <a:r>
            <a:rPr lang="en-US" sz="1100">
              <a:solidFill>
                <a:schemeClr val="dk1"/>
              </a:solidFill>
              <a:effectLst/>
              <a:latin typeface="+mn-lt"/>
              <a:ea typeface="+mn-ea"/>
              <a:cs typeface="+mn-cs"/>
            </a:rPr>
            <a:t>into an Excel-based tool</a:t>
          </a:r>
          <a:r>
            <a:rPr lang="en-US" sz="1100" baseline="0">
              <a:solidFill>
                <a:schemeClr val="dk1"/>
              </a:solidFill>
              <a:effectLst/>
              <a:latin typeface="+mn-lt"/>
              <a:ea typeface="+mn-ea"/>
              <a:cs typeface="+mn-cs"/>
            </a:rPr>
            <a:t> for use by small- and medium-sized localites</a:t>
          </a:r>
          <a:r>
            <a:rPr lang="en-US" sz="1100">
              <a:solidFill>
                <a:schemeClr val="dk1"/>
              </a:solidFill>
              <a:effectLst/>
              <a:latin typeface="+mn-lt"/>
              <a:ea typeface="+mn-ea"/>
              <a:cs typeface="+mn-cs"/>
            </a:rPr>
            <a:t>.  As users work through the sections of the tool, they will see how their city is performing in various </a:t>
          </a:r>
          <a:r>
            <a:rPr lang="en-US" sz="1100" b="0">
              <a:solidFill>
                <a:schemeClr val="dk1"/>
              </a:solidFill>
              <a:effectLst/>
              <a:latin typeface="+mn-lt"/>
              <a:ea typeface="+mn-ea"/>
              <a:cs typeface="+mn-cs"/>
            </a:rPr>
            <a:t>policy sectors </a:t>
          </a:r>
          <a:r>
            <a:rPr lang="en-US" sz="1100">
              <a:solidFill>
                <a:schemeClr val="dk1"/>
              </a:solidFill>
              <a:effectLst/>
              <a:latin typeface="+mn-lt"/>
              <a:ea typeface="+mn-ea"/>
              <a:cs typeface="+mn-cs"/>
            </a:rPr>
            <a:t>and specific policies by answering the questions that most apply to their city or community.  This allows users to not only benchmark current energy efficiency efforts, but also continually evaluate cities’ efforts by returning to the tool as cities develop more comprehensive energy plans.  Such an application also provides smaller local government jurisdictions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a tool to help inform energy policy decisions and prioritize future investments.  Furthermore, the Self-Scoring Tool will also compare the </a:t>
          </a:r>
          <a:r>
            <a:rPr lang="en-US" sz="1100" b="0">
              <a:solidFill>
                <a:schemeClr val="dk1"/>
              </a:solidFill>
              <a:effectLst/>
              <a:latin typeface="+mn-lt"/>
              <a:ea typeface="+mn-ea"/>
              <a:cs typeface="+mn-cs"/>
            </a:rPr>
            <a:t>user community’s </a:t>
          </a:r>
          <a:r>
            <a:rPr lang="en-US" sz="1100">
              <a:solidFill>
                <a:schemeClr val="dk1"/>
              </a:solidFill>
              <a:effectLst/>
              <a:latin typeface="+mn-lt"/>
              <a:ea typeface="+mn-ea"/>
              <a:cs typeface="+mn-cs"/>
            </a:rPr>
            <a:t>score to the efficiency efforts of other small and medium sized communities.  These peer community comparisons will put scores into better perspective and introduce users to some innovative policies and best practices adopted by small- to medium-sized communities.  Additionally, the Self-Scoring Tool will automatically analyze user inputs to recommend programs and policies that would improve a city’s energy efficiency score.  Use of ACEEE’s Local Energy Efficiency Policy Calculator (LEEP-C)  in conjunction with the City Self-Scoring Tool would allow users to further understand the concrete costs and benefits for their community of pursing some of these policies and programs.  </a:t>
          </a:r>
        </a:p>
        <a:p>
          <a:endParaRPr lang="en-US" sz="1100"/>
        </a:p>
      </xdr:txBody>
    </xdr:sp>
    <xdr:clientData/>
  </xdr:twoCellAnchor>
  <xdr:twoCellAnchor>
    <xdr:from>
      <xdr:col>2</xdr:col>
      <xdr:colOff>28575</xdr:colOff>
      <xdr:row>22</xdr:row>
      <xdr:rowOff>123823</xdr:rowOff>
    </xdr:from>
    <xdr:to>
      <xdr:col>9</xdr:col>
      <xdr:colOff>142875</xdr:colOff>
      <xdr:row>48</xdr:row>
      <xdr:rowOff>104774</xdr:rowOff>
    </xdr:to>
    <xdr:sp macro="" textlink="">
      <xdr:nvSpPr>
        <xdr:cNvPr id="3" name="TextBox 2"/>
        <xdr:cNvSpPr txBox="1"/>
      </xdr:nvSpPr>
      <xdr:spPr>
        <a:xfrm>
          <a:off x="1247775" y="4524373"/>
          <a:ext cx="9315450" cy="49339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Instructions</a:t>
          </a:r>
          <a:r>
            <a:rPr lang="en-US" sz="1100">
              <a:solidFill>
                <a:schemeClr val="dk1"/>
              </a:solidFill>
              <a:effectLst/>
              <a:latin typeface="+mn-lt"/>
              <a:ea typeface="+mn-ea"/>
              <a:cs typeface="+mn-cs"/>
            </a:rPr>
            <a:t>: Before</a:t>
          </a:r>
          <a:r>
            <a:rPr lang="en-US" sz="1100" baseline="0">
              <a:solidFill>
                <a:schemeClr val="dk1"/>
              </a:solidFill>
              <a:effectLst/>
              <a:latin typeface="+mn-lt"/>
              <a:ea typeface="+mn-ea"/>
              <a:cs typeface="+mn-cs"/>
            </a:rPr>
            <a:t> using the tool, users should reference the Local Energy Efficiency Self-Scoring Tool User Guide in order to fully understand how the Self-Scoring Tool functions and is organized.  [To insert link here]</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Before proceeding to any of other tabs, please read the Intro Comments and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complete the Basic Information requested</a:t>
          </a:r>
          <a:r>
            <a:rPr lang="en-US" sz="1100" baseline="0">
              <a:solidFill>
                <a:schemeClr val="dk1"/>
              </a:solidFill>
              <a:effectLst/>
              <a:latin typeface="+mn-lt"/>
              <a:ea typeface="+mn-ea"/>
              <a:cs typeface="+mn-cs"/>
            </a:rPr>
            <a:t> on this worksheet</a:t>
          </a:r>
          <a:r>
            <a:rPr lang="en-US" sz="1100">
              <a:solidFill>
                <a:schemeClr val="dk1"/>
              </a:solidFill>
              <a:effectLst/>
              <a:latin typeface="+mn-lt"/>
              <a:ea typeface="+mn-ea"/>
              <a:cs typeface="+mn-cs"/>
            </a:rPr>
            <a:t>.  The values provided here will be used in calculations that follow in various sections of the tool.  After completing this,</a:t>
          </a:r>
          <a:r>
            <a:rPr lang="en-US" sz="1100" baseline="0">
              <a:solidFill>
                <a:schemeClr val="dk1"/>
              </a:solidFill>
              <a:effectLst/>
              <a:latin typeface="+mn-lt"/>
              <a:ea typeface="+mn-ea"/>
              <a:cs typeface="+mn-cs"/>
            </a:rPr>
            <a:t> please proceed to  first policy area worksheet, Local Government, to start scoring a community's energy efficiency efforts.  </a:t>
          </a:r>
          <a:r>
            <a:rPr lang="en-US" sz="1100">
              <a:solidFill>
                <a:schemeClr val="dk1"/>
              </a:solidFill>
              <a:effectLst/>
              <a:latin typeface="+mn-lt"/>
              <a:ea typeface="+mn-ea"/>
              <a:cs typeface="+mn-cs"/>
            </a:rPr>
            <a:t>In each</a:t>
          </a:r>
          <a:r>
            <a:rPr lang="en-US" sz="1100" baseline="0">
              <a:solidFill>
                <a:schemeClr val="dk1"/>
              </a:solidFill>
              <a:effectLst/>
              <a:latin typeface="+mn-lt"/>
              <a:ea typeface="+mn-ea"/>
              <a:cs typeface="+mn-cs"/>
            </a:rPr>
            <a:t> policy tab, c</a:t>
          </a:r>
          <a:r>
            <a:rPr lang="en-US" sz="1100">
              <a:solidFill>
                <a:schemeClr val="dk1"/>
              </a:solidFill>
              <a:effectLst/>
              <a:latin typeface="+mn-lt"/>
              <a:ea typeface="+mn-ea"/>
              <a:cs typeface="+mn-cs"/>
            </a:rPr>
            <a:t>olumn A contains a specific policy or program that serves as the topic of the metric that follows in the next column.  Column B, “Question,” has a specific question related to the metric upon which a community will be scored.  Column C, “Answer,” is usually an open cell that serves as a work space for users to freely answer the posed question in Column B.  It is important to complete this column as fully as possible before moving onto the next column in order to record the specific policy or program information related to why a community is deemed to score in a particular way.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only instances when a cell in this column cannot be altered are when they are colored in a </a:t>
          </a:r>
          <a:r>
            <a:rPr lang="en-US" sz="1100" b="1">
              <a:solidFill>
                <a:schemeClr val="accent1">
                  <a:lumMod val="50000"/>
                </a:schemeClr>
              </a:solidFill>
              <a:effectLst/>
              <a:latin typeface="+mn-lt"/>
              <a:ea typeface="+mn-ea"/>
              <a:cs typeface="+mn-cs"/>
            </a:rPr>
            <a:t>medium blue color</a:t>
          </a:r>
          <a:r>
            <a:rPr lang="en-US" sz="1100">
              <a:solidFill>
                <a:schemeClr val="dk1"/>
              </a:solidFill>
              <a:effectLst/>
              <a:latin typeface="+mn-lt"/>
              <a:ea typeface="+mn-ea"/>
              <a:cs typeface="+mn-cs"/>
            </a:rPr>
            <a:t>.  In these cases, the value in the cell will be automatically populated from information in previous inputs.  Column D, “Scoring Criteria,”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please click on the cell to unlock a dropdown with multiple options and select the option that best fits the description provided in Column C.  Once an option is selected in Column D, Column E, “Score,” will automatically update to reflect the score for that particular metric.  Finally, Column F provides the recommended data source for each metric.</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When completing</a:t>
          </a:r>
          <a:r>
            <a:rPr lang="en-US" sz="1100" baseline="0">
              <a:solidFill>
                <a:schemeClr val="dk1"/>
              </a:solidFill>
              <a:effectLst/>
              <a:latin typeface="+mn-lt"/>
              <a:ea typeface="+mn-ea"/>
              <a:cs typeface="+mn-cs"/>
            </a:rPr>
            <a:t> the Scorecard, please keep the following pieces of guidance in mind:</a:t>
          </a:r>
        </a:p>
        <a:p>
          <a:pPr lvl="0"/>
          <a:r>
            <a:rPr lang="en-US" sz="1100" b="1">
              <a:solidFill>
                <a:schemeClr val="dk1"/>
              </a:solidFill>
              <a:effectLst/>
              <a:latin typeface="+mn-lt"/>
              <a:ea typeface="+mn-ea"/>
              <a:cs typeface="+mn-cs"/>
            </a:rPr>
            <a:t> - Comments</a:t>
          </a:r>
          <a:r>
            <a:rPr lang="en-US" sz="1100">
              <a:solidFill>
                <a:schemeClr val="dk1"/>
              </a:solidFill>
              <a:effectLst/>
              <a:latin typeface="+mn-lt"/>
              <a:ea typeface="+mn-ea"/>
              <a:cs typeface="+mn-cs"/>
            </a:rPr>
            <a:t> are provided for metrics to provide clarity and context.  The user can read comments for a particular metric by holding the cursor over a specific question or see all comments on a sheet by selecting the “Show All Comments” button in the Excel toolbar.  </a:t>
          </a:r>
        </a:p>
        <a:p>
          <a:pPr lvl="0"/>
          <a:r>
            <a:rPr lang="en-US" sz="1100">
              <a:solidFill>
                <a:schemeClr val="dk1"/>
              </a:solidFill>
              <a:effectLst/>
              <a:latin typeface="+mn-lt"/>
              <a:ea typeface="+mn-ea"/>
              <a:cs typeface="+mn-cs"/>
            </a:rPr>
            <a:t>- All cells in the Self-Scoring Tool are </a:t>
          </a:r>
          <a:r>
            <a:rPr lang="en-US" sz="1100" b="1">
              <a:solidFill>
                <a:schemeClr val="dk1"/>
              </a:solidFill>
              <a:effectLst/>
              <a:latin typeface="+mn-lt"/>
              <a:ea typeface="+mn-ea"/>
              <a:cs typeface="+mn-cs"/>
            </a:rPr>
            <a:t>color coded</a:t>
          </a:r>
          <a:r>
            <a:rPr lang="en-US" sz="1100">
              <a:solidFill>
                <a:schemeClr val="dk1"/>
              </a:solidFill>
              <a:effectLst/>
              <a:latin typeface="+mn-lt"/>
              <a:ea typeface="+mn-ea"/>
              <a:cs typeface="+mn-cs"/>
            </a:rPr>
            <a:t> to distinguish between those cells that are locked from those that should be interacted with/require a response.  Cells in this </a:t>
          </a:r>
          <a:r>
            <a:rPr lang="en-US" sz="1100" b="1">
              <a:solidFill>
                <a:schemeClr val="accent1">
                  <a:lumMod val="60000"/>
                  <a:lumOff val="40000"/>
                </a:schemeClr>
              </a:solidFill>
              <a:effectLst/>
              <a:latin typeface="+mn-lt"/>
              <a:ea typeface="+mn-ea"/>
              <a:cs typeface="+mn-cs"/>
            </a:rPr>
            <a:t>light blue color </a:t>
          </a:r>
          <a:r>
            <a:rPr lang="en-US" sz="1100">
              <a:solidFill>
                <a:schemeClr val="dk1"/>
              </a:solidFill>
              <a:effectLst/>
              <a:latin typeface="+mn-lt"/>
              <a:ea typeface="+mn-ea"/>
              <a:cs typeface="+mn-cs"/>
            </a:rPr>
            <a:t>require a response and those in this </a:t>
          </a:r>
          <a:r>
            <a:rPr lang="en-US" sz="1100" b="1">
              <a:solidFill>
                <a:schemeClr val="accent1">
                  <a:lumMod val="50000"/>
                </a:schemeClr>
              </a:solidFill>
              <a:effectLst/>
              <a:latin typeface="+mn-lt"/>
              <a:ea typeface="+mn-ea"/>
              <a:cs typeface="+mn-cs"/>
            </a:rPr>
            <a:t>medium blue color</a:t>
          </a:r>
          <a:r>
            <a:rPr lang="en-US" sz="1100">
              <a:solidFill>
                <a:schemeClr val="accent1">
                  <a:lumMod val="50000"/>
                </a:schemeClr>
              </a:solidFill>
              <a:effectLst/>
              <a:latin typeface="+mn-lt"/>
              <a:ea typeface="+mn-ea"/>
              <a:cs typeface="+mn-cs"/>
            </a:rPr>
            <a:t> </a:t>
          </a:r>
          <a:r>
            <a:rPr lang="en-US" sz="1100">
              <a:solidFill>
                <a:schemeClr val="dk1"/>
              </a:solidFill>
              <a:effectLst/>
              <a:latin typeface="+mn-lt"/>
              <a:ea typeface="+mn-ea"/>
              <a:cs typeface="+mn-cs"/>
            </a:rPr>
            <a:t>are locked and should not be edited by the user.  </a:t>
          </a:r>
        </a:p>
        <a:p>
          <a:pPr lvl="0"/>
          <a:r>
            <a:rPr lang="en-US" sz="1100">
              <a:solidFill>
                <a:schemeClr val="dk1"/>
              </a:solidFill>
              <a:effectLst/>
              <a:latin typeface="+mn-lt"/>
              <a:ea typeface="+mn-ea"/>
              <a:cs typeface="+mn-cs"/>
            </a:rPr>
            <a:t>- All metrics are </a:t>
          </a:r>
          <a:r>
            <a:rPr lang="en-US" sz="1100" b="1">
              <a:solidFill>
                <a:schemeClr val="dk1"/>
              </a:solidFill>
              <a:effectLst/>
              <a:latin typeface="+mn-lt"/>
              <a:ea typeface="+mn-ea"/>
              <a:cs typeface="+mn-cs"/>
            </a:rPr>
            <a:t>grouped</a:t>
          </a:r>
          <a:r>
            <a:rPr lang="en-US" sz="1100">
              <a:solidFill>
                <a:schemeClr val="dk1"/>
              </a:solidFill>
              <a:effectLst/>
              <a:latin typeface="+mn-lt"/>
              <a:ea typeface="+mn-ea"/>
              <a:cs typeface="+mn-cs"/>
            </a:rPr>
            <a:t> into policy steps.  For a further discussion of policy</a:t>
          </a:r>
          <a:r>
            <a:rPr lang="en-US" sz="1100" baseline="0">
              <a:solidFill>
                <a:schemeClr val="dk1"/>
              </a:solidFill>
              <a:effectLst/>
              <a:latin typeface="+mn-lt"/>
              <a:ea typeface="+mn-ea"/>
              <a:cs typeface="+mn-cs"/>
            </a:rPr>
            <a:t> steps, please see page 3 of the User Guide</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U</a:t>
          </a:r>
          <a:r>
            <a:rPr lang="en-US" sz="1100">
              <a:solidFill>
                <a:schemeClr val="dk1"/>
              </a:solidFill>
              <a:effectLst/>
              <a:latin typeface="+mn-lt"/>
              <a:ea typeface="+mn-ea"/>
              <a:cs typeface="+mn-cs"/>
            </a:rPr>
            <a:t>sers can work only on the policy steps that apply to their cities.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 order to hide or unhide the grouped policy steps, click the pertinent plus or minus buttons in the left-hand margin of the page that correspond to the policy steps. </a:t>
          </a:r>
        </a:p>
        <a:p>
          <a:pPr lvl="0"/>
          <a:endParaRPr lang="en-US"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Once you</a:t>
          </a:r>
          <a:r>
            <a:rPr lang="en-US" sz="1100" baseline="0">
              <a:solidFill>
                <a:schemeClr val="dk1"/>
              </a:solidFill>
              <a:effectLst/>
              <a:latin typeface="+mn-lt"/>
              <a:ea typeface="+mn-ea"/>
              <a:cs typeface="+mn-cs"/>
            </a:rPr>
            <a:t> are finished scoring the community, please proceed to the "Intro Analysis" and "Detailed Analysis" worksheets for additional information on the community's performance and comparison against peer communities.  It should be noted that for all pieces of analysis </a:t>
          </a:r>
          <a:r>
            <a:rPr lang="en-US" sz="1100">
              <a:solidFill>
                <a:schemeClr val="dk1"/>
              </a:solidFill>
              <a:effectLst/>
              <a:latin typeface="+mn-lt"/>
              <a:ea typeface="+mn-ea"/>
              <a:cs typeface="+mn-cs"/>
            </a:rPr>
            <a:t>, the results are only based upon the metrics for which you have entered responses in the “Scoring Criteria” column.</a:t>
          </a:r>
          <a:r>
            <a:rPr lang="en-US" sz="1100" baseline="0">
              <a:solidFill>
                <a:schemeClr val="dk1"/>
              </a:solidFill>
              <a:effectLst/>
              <a:latin typeface="+mn-lt"/>
              <a:ea typeface="+mn-ea"/>
              <a:cs typeface="+mn-cs"/>
            </a:rPr>
            <a:t>  While fully completing the tool provides the best picture of energy efficiency in the community, this flexibility allows communities to scores themselves on the metrics most pertinent to their community.  </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609600</xdr:colOff>
      <xdr:row>1</xdr:row>
      <xdr:rowOff>190500</xdr:rowOff>
    </xdr:from>
    <xdr:to>
      <xdr:col>13</xdr:col>
      <xdr:colOff>95250</xdr:colOff>
      <xdr:row>24</xdr:row>
      <xdr:rowOff>19050</xdr:rowOff>
    </xdr:to>
    <xdr:graphicFrame macro="">
      <xdr:nvGraphicFramePr>
        <xdr:cNvPr id="27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ynamicChar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Community%20EE/City%20Scorecard/Self-Scoring%20Tool/Peer%20City%20Scoring/Arlington%20-%20Self-Scoring%20Tool%20Sco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Community%20EE/City%20Scorecard/Self-Scoring%20Tool/Peer%20City%20Scoring/Madison%20-%20Self-Scoring%20Tool%20Scor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ynamicChart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Local Government"/>
      <sheetName val="Community-Wide"/>
      <sheetName val="Buildings"/>
      <sheetName val="Utility"/>
      <sheetName val="Transportation"/>
      <sheetName val="Hidden Sheet"/>
      <sheetName val="Intro Analysis"/>
      <sheetName val="Detailed Analysis"/>
      <sheetName val="Chart Data"/>
      <sheetName val="Old Analysi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Local Government"/>
      <sheetName val="Community-Wide"/>
      <sheetName val="Buildings"/>
      <sheetName val="Utility"/>
      <sheetName val="Transportation"/>
      <sheetName val="Hidden Sheet"/>
      <sheetName val="Intro Analysis"/>
      <sheetName val="Analysis Data 1"/>
      <sheetName val="Analysis Data 2"/>
      <sheetName val="Detailed Analysis"/>
      <sheetName val="Intro Chart Data"/>
      <sheetName val="Old Analysis"/>
    </sheetNames>
    <sheetDataSet>
      <sheetData sheetId="0"/>
      <sheetData sheetId="1"/>
      <sheetData sheetId="2"/>
      <sheetData sheetId="3"/>
      <sheetData sheetId="4">
        <row r="6">
          <cell r="D6" t="str">
            <v>Investor Owned Utility</v>
          </cell>
        </row>
        <row r="44">
          <cell r="D44" t="str">
            <v>No, energy efficiency is not  incorporated into one of the aforementioned agreements</v>
          </cell>
          <cell r="E44">
            <v>0</v>
          </cell>
        </row>
        <row r="45">
          <cell r="D45" t="str">
            <v>No, the city does not advocate for additional energy efficiency requirements</v>
          </cell>
          <cell r="E45">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factfinder2.census.gov/faces/nav/jsf/pages/index.xhtml" TargetMode="External"/><Relationship Id="rId2" Type="http://schemas.openxmlformats.org/officeDocument/2006/relationships/hyperlink" Target="http://factfinder2.census.gov/faces/nav/jsf/pages/index.xhtml" TargetMode="External"/><Relationship Id="rId1" Type="http://schemas.openxmlformats.org/officeDocument/2006/relationships/hyperlink" Target="http://factfinder2.census.gov/faces/nav/jsf/pages/index.x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17" Type="http://schemas.openxmlformats.org/officeDocument/2006/relationships/hyperlink" Target="http://www.cityofboston.gov/Images_Documents/Building%20Energy%20Reporting%20and%20Disclosure%20Ordinance%20Feb2013_tcm3-36303.pdf" TargetMode="External"/><Relationship Id="rId299" Type="http://schemas.openxmlformats.org/officeDocument/2006/relationships/hyperlink" Target="http://www.savingwater.org/docs/2012_Annual_Report.pdf" TargetMode="External"/><Relationship Id="rId21" Type="http://schemas.openxmlformats.org/officeDocument/2006/relationships/hyperlink" Target="http://stlouis-mo.gov/government/departments/planning/documents/upload/130219%20STL%20Sustainability%20Plan.pdf" TargetMode="External"/><Relationship Id="rId63" Type="http://schemas.openxmlformats.org/officeDocument/2006/relationships/hyperlink" Target="http://www.muelleraustin.com/uploads/mgrg.pdf" TargetMode="External"/><Relationship Id="rId159" Type="http://schemas.openxmlformats.org/officeDocument/2006/relationships/hyperlink" Target="http://www.sandiego.gov/environmental-services/energy/index.shtml" TargetMode="External"/><Relationship Id="rId324" Type="http://schemas.openxmlformats.org/officeDocument/2006/relationships/hyperlink" Target="http://www.epwu.org/financial/reports/2011/annual_report.pdf" TargetMode="External"/><Relationship Id="rId366" Type="http://schemas.openxmlformats.org/officeDocument/2006/relationships/hyperlink" Target="http://www.cityofsacramento.org/dsd/planning/long-range/parking/documents/Ordinance2012-043.pdf" TargetMode="External"/><Relationship Id="rId531" Type="http://schemas.openxmlformats.org/officeDocument/2006/relationships/hyperlink" Target="http://www.rita.dot.gov/bts/data_and_statistics/by_region/state_and_local/index.html" TargetMode="External"/><Relationship Id="rId573" Type="http://schemas.openxmlformats.org/officeDocument/2006/relationships/hyperlink" Target="http://www.ntdprogram.gov/ntdprogram/data.htm" TargetMode="External"/><Relationship Id="rId170" Type="http://schemas.openxmlformats.org/officeDocument/2006/relationships/hyperlink" Target="http://www.sfenvironment.org/climate-change/city-government-climate-action" TargetMode="External"/><Relationship Id="rId226" Type="http://schemas.openxmlformats.org/officeDocument/2006/relationships/hyperlink" Target="http://www.miamigov.com/msi/pages/Energy/In%20Miami/Default.asp" TargetMode="External"/><Relationship Id="rId433" Type="http://schemas.openxmlformats.org/officeDocument/2006/relationships/hyperlink" Target="http://ddoe.dc.gov/sites/default/files/dc/sites/ddoe/publication/attachments/chapter9revised.pdf" TargetMode="External"/><Relationship Id="rId268" Type="http://schemas.openxmlformats.org/officeDocument/2006/relationships/hyperlink" Target="http://www.seattle.gov/dpd/Planning/Seattle_s_Comprehensive_Plan/ComprehensivePlan/default.asp" TargetMode="External"/><Relationship Id="rId475" Type="http://schemas.openxmlformats.org/officeDocument/2006/relationships/hyperlink" Target="http://www.deq.state.or.us/nwr/eco/resources.htm" TargetMode="External"/><Relationship Id="rId32" Type="http://schemas.openxmlformats.org/officeDocument/2006/relationships/hyperlink" Target="http://www.elpasotexas.gov/sustainability/reports.asp" TargetMode="External"/><Relationship Id="rId74" Type="http://schemas.openxmlformats.org/officeDocument/2006/relationships/hyperlink" Target="http://phoenix.gov/pdd/services/permitservices/green_building.html" TargetMode="External"/><Relationship Id="rId128" Type="http://schemas.openxmlformats.org/officeDocument/2006/relationships/hyperlink" Target="http://www.energystar.gov/index.cfm?fuseaction=hpwes_profiles.showFindaProgram" TargetMode="External"/><Relationship Id="rId335" Type="http://schemas.openxmlformats.org/officeDocument/2006/relationships/hyperlink" Target="http://www.amlegal.com/nxt/gateway.dll/Texas/austin/thecodeofthecityofaustintexas?f=templates$fn=default.htm$3.0$vid=amlegal:austin_tx$anc=%20" TargetMode="External"/><Relationship Id="rId377" Type="http://schemas.openxmlformats.org/officeDocument/2006/relationships/hyperlink" Target="http://www.greenriverside.com/userfiles/Green_Action_Plan-2012.pdf" TargetMode="External"/><Relationship Id="rId500" Type="http://schemas.openxmlformats.org/officeDocument/2006/relationships/hyperlink" Target="http://faf.ornl.gov/fafweb/Extraction1.aspx" TargetMode="External"/><Relationship Id="rId542" Type="http://schemas.openxmlformats.org/officeDocument/2006/relationships/hyperlink" Target="http://faf.ornl.gov/fafweb/Extraction1.aspx" TargetMode="External"/><Relationship Id="rId5" Type="http://schemas.openxmlformats.org/officeDocument/2006/relationships/hyperlink" Target="http://www.sacgp.org/documents/2__Adopted_CAP_whole.pdf" TargetMode="External"/><Relationship Id="rId181" Type="http://schemas.openxmlformats.org/officeDocument/2006/relationships/hyperlink" Target="http://www.indy.gov/eGov/City/DPW/SustainIndy/Sustain/Pages/OfficeofSustainabilityHome.aspx" TargetMode="External"/><Relationship Id="rId237" Type="http://schemas.openxmlformats.org/officeDocument/2006/relationships/hyperlink" Target="http://www.buildingrating.org/content/policy-brief-new-york-city" TargetMode="External"/><Relationship Id="rId402" Type="http://schemas.openxmlformats.org/officeDocument/2006/relationships/hyperlink" Target="http://www.smartgrowthamerica.org/documents/cs/cs-policyanalysis.pdf" TargetMode="External"/><Relationship Id="rId279" Type="http://schemas.openxmlformats.org/officeDocument/2006/relationships/hyperlink" Target="http://www.atmosenergy.com/home/efficiency/CEE_Report_march_2013.pdf" TargetMode="External"/><Relationship Id="rId444" Type="http://schemas.openxmlformats.org/officeDocument/2006/relationships/hyperlink" Target="http://trimet.org/pdfs/publications/trimetridership.pdf" TargetMode="External"/><Relationship Id="rId486" Type="http://schemas.openxmlformats.org/officeDocument/2006/relationships/hyperlink" Target="http://faf.ornl.gov/fafweb/Extraction1.aspx" TargetMode="External"/><Relationship Id="rId43" Type="http://schemas.openxmlformats.org/officeDocument/2006/relationships/hyperlink" Target="http://www.nyc.gov/html/planyc2030/html/about/who-we-are.shtml" TargetMode="External"/><Relationship Id="rId139" Type="http://schemas.openxmlformats.org/officeDocument/2006/relationships/hyperlink" Target="http://thecbpca.org/" TargetMode="External"/><Relationship Id="rId290" Type="http://schemas.openxmlformats.org/officeDocument/2006/relationships/hyperlink" Target="http://www3.sanjoseca.gov/clerk/CommitteeAgenda/TE/20120305/TE20120305_d6.PDF" TargetMode="External"/><Relationship Id="rId304" Type="http://schemas.openxmlformats.org/officeDocument/2006/relationships/hyperlink" Target="http://www.civicfed.org/sites/default/files/CivicFederation_MWRDFY2013BudgetAnalysis.pdf" TargetMode="External"/><Relationship Id="rId346" Type="http://schemas.openxmlformats.org/officeDocument/2006/relationships/hyperlink" Target="http://phoenix.gov/webcms/groups/internet/@inter/@env/@sustain/documents/web_content/021142.pdf" TargetMode="External"/><Relationship Id="rId388" Type="http://schemas.openxmlformats.org/officeDocument/2006/relationships/hyperlink" Target="http://www4.eere.energy.gov/challenge/partners/better-buildings/los-angeles" TargetMode="External"/><Relationship Id="rId511" Type="http://schemas.openxmlformats.org/officeDocument/2006/relationships/hyperlink" Target="http://www.rita.dot.gov/bts/data_and_statistics/by_region/state_and_local/index.html" TargetMode="External"/><Relationship Id="rId553" Type="http://schemas.openxmlformats.org/officeDocument/2006/relationships/hyperlink" Target="http://www.ntdprogram.gov/ntdprogram/data.htm" TargetMode="External"/><Relationship Id="rId85" Type="http://schemas.openxmlformats.org/officeDocument/2006/relationships/hyperlink" Target="http://www.coj.net/departments/environmental-and-compliance/office-of-sustainability-initiatives.aspx" TargetMode="External"/><Relationship Id="rId150" Type="http://schemas.openxmlformats.org/officeDocument/2006/relationships/hyperlink" Target="http://www.greenprintdenver.org/2020goals" TargetMode="External"/><Relationship Id="rId192" Type="http://schemas.openxmlformats.org/officeDocument/2006/relationships/hyperlink" Target="http://www.sfenvironment.org/about/taskforce/municipal-green-building-task-force" TargetMode="External"/><Relationship Id="rId206" Type="http://schemas.openxmlformats.org/officeDocument/2006/relationships/hyperlink" Target="http://www.greenprintdenver.org/wp-content/uploads/2013/03/13-XO-123-Sustainability-Cabinet-Ready-Copy.pdf" TargetMode="External"/><Relationship Id="rId413" Type="http://schemas.openxmlformats.org/officeDocument/2006/relationships/hyperlink" Target="http://www.afdc.energy.gov/cleancities/coalition/greater-indiana" TargetMode="External"/><Relationship Id="rId248" Type="http://schemas.openxmlformats.org/officeDocument/2006/relationships/hyperlink" Target="http://www.cityofboston.gov/Images_Documents/A%20Climate%20of%20Progress%20-%20CAP%20Update%202011_tcm3-25020.pdf" TargetMode="External"/><Relationship Id="rId455" Type="http://schemas.openxmlformats.org/officeDocument/2006/relationships/hyperlink" Target="http://htaindex.cnt.org/" TargetMode="External"/><Relationship Id="rId497" Type="http://schemas.openxmlformats.org/officeDocument/2006/relationships/hyperlink" Target="http://www.rita.dot.gov/bts/data_and_statistics/by_region/state_and_local/index.html" TargetMode="External"/><Relationship Id="rId12" Type="http://schemas.openxmlformats.org/officeDocument/2006/relationships/hyperlink" Target="http://www.cityofboston.gov/images_documents/A%20Climate%20of%20Progress%20-%20CAP%20Update%202011_tcm3-25020.pdf" TargetMode="External"/><Relationship Id="rId108" Type="http://schemas.openxmlformats.org/officeDocument/2006/relationships/hyperlink" Target="http://www.buildingrating.org/ammap" TargetMode="External"/><Relationship Id="rId315" Type="http://schemas.openxmlformats.org/officeDocument/2006/relationships/hyperlink" Target="http://www.saws.org/environment/energymanagement/savings.cfm" TargetMode="External"/><Relationship Id="rId357" Type="http://schemas.openxmlformats.org/officeDocument/2006/relationships/hyperlink" Target="http://www.cityofboston.gov/TRANSPORTATION/accessboston/pdfs/parking_districts.pdf" TargetMode="External"/><Relationship Id="rId522" Type="http://schemas.openxmlformats.org/officeDocument/2006/relationships/hyperlink" Target="http://faf.ornl.gov/fafweb/Extraction1.aspx" TargetMode="External"/><Relationship Id="rId54" Type="http://schemas.openxmlformats.org/officeDocument/2006/relationships/hyperlink" Target="http://www.atlantaga.gov/modules/showdocument.aspx?documentid=5422" TargetMode="External"/><Relationship Id="rId96" Type="http://schemas.openxmlformats.org/officeDocument/2006/relationships/hyperlink" Target="http://development.columbus.gov/uploadedFiles/Development/Housing_Division/Document_Library/AWARE%20Manual_February2011.pdf" TargetMode="External"/><Relationship Id="rId161" Type="http://schemas.openxmlformats.org/officeDocument/2006/relationships/hyperlink" Target="http://www.seattle.gov/environment/climate_plan.htm" TargetMode="External"/><Relationship Id="rId217" Type="http://schemas.openxmlformats.org/officeDocument/2006/relationships/hyperlink" Target="http://www.coolcalifornia.org/case-study/riverside-an-emerald-city" TargetMode="External"/><Relationship Id="rId399" Type="http://schemas.openxmlformats.org/officeDocument/2006/relationships/hyperlink" Target="http://www.smartgrowthamerica.org/documents/cs/cs-policyanalysis.pdf" TargetMode="External"/><Relationship Id="rId564" Type="http://schemas.openxmlformats.org/officeDocument/2006/relationships/hyperlink" Target="http://www.ntdprogram.gov/ntdprogram/data.htm" TargetMode="External"/><Relationship Id="rId259" Type="http://schemas.openxmlformats.org/officeDocument/2006/relationships/hyperlink" Target="http://aceee.org/energy-efficiency-sector/state-policy/Georgia/183/all/202" TargetMode="External"/><Relationship Id="rId424" Type="http://schemas.openxmlformats.org/officeDocument/2006/relationships/hyperlink" Target="http://chargeportland.com/" TargetMode="External"/><Relationship Id="rId466" Type="http://schemas.openxmlformats.org/officeDocument/2006/relationships/hyperlink" Target="http://htaindex.cnt.org/" TargetMode="External"/><Relationship Id="rId23" Type="http://schemas.openxmlformats.org/officeDocument/2006/relationships/hyperlink" Target="http://www.dfwi.org/system/resources/BAhbBlsHOgZmIjIyMDEyLzA1LzI5L0RPRV9CZXR0ZXJfQnVpbGRpbmdzX0NoYWxsZW5nZS5wZGY/DOE_Better_Buildings_Challenge.pdf" TargetMode="External"/><Relationship Id="rId119" Type="http://schemas.openxmlformats.org/officeDocument/2006/relationships/hyperlink" Target="http://www.buildingrating.org/content/us-policy-briefs" TargetMode="External"/><Relationship Id="rId270" Type="http://schemas.openxmlformats.org/officeDocument/2006/relationships/hyperlink" Target="http://www.rebuildhouston.org/" TargetMode="External"/><Relationship Id="rId326" Type="http://schemas.openxmlformats.org/officeDocument/2006/relationships/hyperlink" Target="http://fortworthtexas.gov/uploadedFiles/Water/Save_FW_water/FinalWCP09.pdf" TargetMode="External"/><Relationship Id="rId533" Type="http://schemas.openxmlformats.org/officeDocument/2006/relationships/hyperlink" Target="http://www.rita.dot.gov/bts/data_and_statistics/by_region/state_and_local/index.html" TargetMode="External"/><Relationship Id="rId65" Type="http://schemas.openxmlformats.org/officeDocument/2006/relationships/hyperlink" Target="http://development.columbus.gov/uploadedFiles/Development/Housing_Division/Document_Library/AWARE%20Manual_February2011.pdf" TargetMode="External"/><Relationship Id="rId130" Type="http://schemas.openxmlformats.org/officeDocument/2006/relationships/hyperlink" Target="http://www.energystar.gov/index.cfm?fuseaction=hpwes_profiles.showFindaProgram" TargetMode="External"/><Relationship Id="rId368" Type="http://schemas.openxmlformats.org/officeDocument/2006/relationships/hyperlink" Target="http://ww.charmeck.org/Planning/ZoningOrdinance/ZoningOrdCityChapter10.pdf" TargetMode="External"/><Relationship Id="rId575" Type="http://schemas.openxmlformats.org/officeDocument/2006/relationships/hyperlink" Target="http://www.ntdprogram.gov/ntdprogram/data.htm" TargetMode="External"/><Relationship Id="rId172" Type="http://schemas.openxmlformats.org/officeDocument/2006/relationships/hyperlink" Target="http://www.tampagov.net/dept_green_tampa/index.asp" TargetMode="External"/><Relationship Id="rId228" Type="http://schemas.openxmlformats.org/officeDocument/2006/relationships/hyperlink" Target="http://www.environmentla.org/cgbp/epp.html" TargetMode="External"/><Relationship Id="rId435" Type="http://schemas.openxmlformats.org/officeDocument/2006/relationships/hyperlink" Target="http://www.afdc.energy.gov/laws/local/" TargetMode="External"/><Relationship Id="rId477" Type="http://schemas.openxmlformats.org/officeDocument/2006/relationships/hyperlink" Target="http://www.commuter-connection.org/" TargetMode="External"/><Relationship Id="rId281" Type="http://schemas.openxmlformats.org/officeDocument/2006/relationships/hyperlink" Target="http://www.renewboston.org/" TargetMode="External"/><Relationship Id="rId337" Type="http://schemas.openxmlformats.org/officeDocument/2006/relationships/hyperlink" Target="http://reconnectingamerica.org/assets/Uploads/091118ra_sustainabilityrecommendations_final.pdf" TargetMode="External"/><Relationship Id="rId502" Type="http://schemas.openxmlformats.org/officeDocument/2006/relationships/hyperlink" Target="http://faf.ornl.gov/fafweb/Extraction1.aspx" TargetMode="External"/><Relationship Id="rId34" Type="http://schemas.openxmlformats.org/officeDocument/2006/relationships/hyperlink" Target="http://www.nyc.gov/html/planyc2030/html/publications/publications.shtml" TargetMode="External"/><Relationship Id="rId76" Type="http://schemas.openxmlformats.org/officeDocument/2006/relationships/hyperlink" Target="http://www.baltimorehousing.org/permit_bcgbs" TargetMode="External"/><Relationship Id="rId141" Type="http://schemas.openxmlformats.org/officeDocument/2006/relationships/hyperlink" Target="http://www.energystar.gov/index.cfm?fuseaction=hpwes_profiles.showFindaProgram" TargetMode="External"/><Relationship Id="rId379" Type="http://schemas.openxmlformats.org/officeDocument/2006/relationships/hyperlink" Target="http://www4.eere.energy.gov/challenge/partners/better-buildings/seattle" TargetMode="External"/><Relationship Id="rId544" Type="http://schemas.openxmlformats.org/officeDocument/2006/relationships/hyperlink" Target="http://faf.ornl.gov/fafweb/Extraction1.aspx" TargetMode="External"/><Relationship Id="rId7" Type="http://schemas.openxmlformats.org/officeDocument/2006/relationships/hyperlink" Target="http://www.sanjoseca.gov/DocumentCenter/Home/View/474" TargetMode="External"/><Relationship Id="rId183" Type="http://schemas.openxmlformats.org/officeDocument/2006/relationships/hyperlink" Target="http://www.atlantaga.gov/index.aspx?page=154" TargetMode="External"/><Relationship Id="rId239" Type="http://schemas.openxmlformats.org/officeDocument/2006/relationships/hyperlink" Target="http://www.buildingrating.org/content/policy-brief-austin-tx" TargetMode="External"/><Relationship Id="rId390" Type="http://schemas.openxmlformats.org/officeDocument/2006/relationships/hyperlink" Target="http://www.austintexas.gov/article/working-together-complete-our-streets" TargetMode="External"/><Relationship Id="rId404" Type="http://schemas.openxmlformats.org/officeDocument/2006/relationships/hyperlink" Target="http://www.smartgrowthamerica.org/documents/cs-2012-policy-analysis.pdf" TargetMode="External"/><Relationship Id="rId446" Type="http://schemas.openxmlformats.org/officeDocument/2006/relationships/hyperlink" Target="http://htaindex.cnt.org/" TargetMode="External"/><Relationship Id="rId250" Type="http://schemas.openxmlformats.org/officeDocument/2006/relationships/hyperlink" Target="http://www.nyc.gov/html/planyc2030/html/publications/publications.shtml" TargetMode="External"/><Relationship Id="rId292" Type="http://schemas.openxmlformats.org/officeDocument/2006/relationships/hyperlink" Target="http://aceee.org/w-e-program/mwra-long-term-sustainability-program" TargetMode="External"/><Relationship Id="rId306" Type="http://schemas.openxmlformats.org/officeDocument/2006/relationships/hyperlink" Target="http://denverwater.org/Conservation/IncentivePrograms/" TargetMode="External"/><Relationship Id="rId488" Type="http://schemas.openxmlformats.org/officeDocument/2006/relationships/hyperlink" Target="http://faf.ornl.gov/fafweb/Extraction1.aspx" TargetMode="External"/><Relationship Id="rId45" Type="http://schemas.openxmlformats.org/officeDocument/2006/relationships/hyperlink" Target="http://www.greenprintdenver.org/wp-content/uploads/2012/09/GreenPrintReport_FINAL_Spread.pdf" TargetMode="External"/><Relationship Id="rId87" Type="http://schemas.openxmlformats.org/officeDocument/2006/relationships/hyperlink" Target="http://www.dsireusa.org/incentives/index.cfm?re=0&amp;ee=0&amp;spv=0&amp;st=0&amp;srp=1&amp;state=MA" TargetMode="External"/><Relationship Id="rId110" Type="http://schemas.openxmlformats.org/officeDocument/2006/relationships/hyperlink" Target="http://www.buildingrating.org/ammap" TargetMode="External"/><Relationship Id="rId348" Type="http://schemas.openxmlformats.org/officeDocument/2006/relationships/hyperlink" Target="http://planelpaso.org/" TargetMode="External"/><Relationship Id="rId513" Type="http://schemas.openxmlformats.org/officeDocument/2006/relationships/hyperlink" Target="http://www.rita.dot.gov/bts/data_and_statistics/by_region/state_and_local/index.html" TargetMode="External"/><Relationship Id="rId555" Type="http://schemas.openxmlformats.org/officeDocument/2006/relationships/hyperlink" Target="http://www.ntdprogram.gov/ntdprogram/data.htm" TargetMode="External"/><Relationship Id="rId152" Type="http://schemas.openxmlformats.org/officeDocument/2006/relationships/hyperlink" Target="http://fortworthtexas.gov/sustainability/" TargetMode="External"/><Relationship Id="rId194" Type="http://schemas.openxmlformats.org/officeDocument/2006/relationships/hyperlink" Target="http://www.cityofboston.gov/Images_Documents/A%20Climate%20of%20Progress%20-%20CAP%20Update%202011_tcm3-25020.pdf" TargetMode="External"/><Relationship Id="rId208" Type="http://schemas.openxmlformats.org/officeDocument/2006/relationships/hyperlink" Target="http://www.greenhoustontx.gov/pdf/ordinance-greenbuilding.pdf" TargetMode="External"/><Relationship Id="rId415" Type="http://schemas.openxmlformats.org/officeDocument/2006/relationships/hyperlink" Target="http://www.afdc.energy.gov/cleancities/coalition/phoenix" TargetMode="External"/><Relationship Id="rId457" Type="http://schemas.openxmlformats.org/officeDocument/2006/relationships/hyperlink" Target="http://htaindex.cnt.org/" TargetMode="External"/><Relationship Id="rId261" Type="http://schemas.openxmlformats.org/officeDocument/2006/relationships/hyperlink" Target="http://www.sacgp.org/documents/Phase-1-CAP_2-11-10.pdf" TargetMode="External"/><Relationship Id="rId499" Type="http://schemas.openxmlformats.org/officeDocument/2006/relationships/hyperlink" Target="http://www.rita.dot.gov/bts/data_and_statistics/by_region/state_and_local/index.html" TargetMode="External"/><Relationship Id="rId14" Type="http://schemas.openxmlformats.org/officeDocument/2006/relationships/hyperlink" Target="http://sustainable.dc.gov/sites/default/files/dc/sites/sustainable/page_content/attachments/DCS-008%20Report%20508.3j.pdf" TargetMode="External"/><Relationship Id="rId56" Type="http://schemas.openxmlformats.org/officeDocument/2006/relationships/hyperlink" Target="http://www.earthadvantage.org/education-events/" TargetMode="External"/><Relationship Id="rId317" Type="http://schemas.openxmlformats.org/officeDocument/2006/relationships/hyperlink" Target="http://stormwater.franklinswcd.org/" TargetMode="External"/><Relationship Id="rId359" Type="http://schemas.openxmlformats.org/officeDocument/2006/relationships/hyperlink" Target="http://www.portlandoregon.gov/bps/article/53320" TargetMode="External"/><Relationship Id="rId524" Type="http://schemas.openxmlformats.org/officeDocument/2006/relationships/hyperlink" Target="http://faf.ornl.gov/fafweb/Extraction1.aspx" TargetMode="External"/><Relationship Id="rId566" Type="http://schemas.openxmlformats.org/officeDocument/2006/relationships/hyperlink" Target="http://www.ntdprogram.gov/ntdprogram/data.htm" TargetMode="External"/><Relationship Id="rId98" Type="http://schemas.openxmlformats.org/officeDocument/2006/relationships/hyperlink" Target="http://www.cityofboston.gov/Images_Documents/Building%20Energy%20Reporting%20and%20Disclosure%20Ordinance%20Feb2013_tcm3-36303.pdf" TargetMode="External"/><Relationship Id="rId121" Type="http://schemas.openxmlformats.org/officeDocument/2006/relationships/hyperlink" Target="http://www.energystar.gov/index.cfm?fuseaction=hpwes_profiles.showFindaProgram" TargetMode="External"/><Relationship Id="rId163" Type="http://schemas.openxmlformats.org/officeDocument/2006/relationships/hyperlink" Target="http://stlouis-mo.gov/government/departments/mayor/initiatives/sustainability/Sustainable-Policies-and-Ordinances.cfm" TargetMode="External"/><Relationship Id="rId219" Type="http://schemas.openxmlformats.org/officeDocument/2006/relationships/hyperlink" Target="http://www.sanjoseca.gov/DocumentCenter/View/3862" TargetMode="External"/><Relationship Id="rId370" Type="http://schemas.openxmlformats.org/officeDocument/2006/relationships/hyperlink" Target="http://www.sfmta.com/sites/default/files/Concept8SummaryReport_v8accessible.pdf" TargetMode="External"/><Relationship Id="rId426" Type="http://schemas.openxmlformats.org/officeDocument/2006/relationships/hyperlink" Target="http://www.austinenergy.com/About%20Us/Environmental%20Initiatives/plug-in%20Partners/drivers.htm" TargetMode="External"/><Relationship Id="rId230" Type="http://schemas.openxmlformats.org/officeDocument/2006/relationships/hyperlink" Target="http://charmeck.org/city/charlotte/cats/planning/facilities" TargetMode="External"/><Relationship Id="rId468" Type="http://schemas.openxmlformats.org/officeDocument/2006/relationships/hyperlink" Target="http://htaindex.cnt.org/" TargetMode="External"/><Relationship Id="rId25" Type="http://schemas.openxmlformats.org/officeDocument/2006/relationships/hyperlink" Target="http://environmentla.org/pdf/GreenLA_CAP_2007.pdf" TargetMode="External"/><Relationship Id="rId67" Type="http://schemas.openxmlformats.org/officeDocument/2006/relationships/hyperlink" Target="http://www.sustainablecolorado.org/blog/high-performance-buildings/colorado-9th-in-most-leed-certified-buildings" TargetMode="External"/><Relationship Id="rId272" Type="http://schemas.openxmlformats.org/officeDocument/2006/relationships/hyperlink" Target="http://www.cityofboston.gov/Images_Documents/08%20Capital%20Planning_adopted_tcm3-31763.pdf" TargetMode="External"/><Relationship Id="rId328" Type="http://schemas.openxmlformats.org/officeDocument/2006/relationships/hyperlink" Target="http://www.lasewers.org/treatment_plants" TargetMode="External"/><Relationship Id="rId535" Type="http://schemas.openxmlformats.org/officeDocument/2006/relationships/hyperlink" Target="http://www.rita.dot.gov/bts/data_and_statistics/by_region/state_and_local/index.html" TargetMode="External"/><Relationship Id="rId577" Type="http://schemas.openxmlformats.org/officeDocument/2006/relationships/hyperlink" Target="http://www.ntdprogram.gov/ntdprogram/data.htm" TargetMode="External"/><Relationship Id="rId132" Type="http://schemas.openxmlformats.org/officeDocument/2006/relationships/hyperlink" Target="http://thecbpca.org/" TargetMode="External"/><Relationship Id="rId174" Type="http://schemas.openxmlformats.org/officeDocument/2006/relationships/hyperlink" Target="http://www.sfenvironment.org/climate-change/city-government-climate-action" TargetMode="External"/><Relationship Id="rId381" Type="http://schemas.openxmlformats.org/officeDocument/2006/relationships/hyperlink" Target="http://www4.eere.energy.gov/challenge/partners/better-buildings/chicago" TargetMode="External"/><Relationship Id="rId241" Type="http://schemas.openxmlformats.org/officeDocument/2006/relationships/hyperlink" Target="http://www.buildingrating.org/" TargetMode="External"/><Relationship Id="rId437" Type="http://schemas.openxmlformats.org/officeDocument/2006/relationships/hyperlink" Target="http://library.municode.com/index.aspx?clientId=10376&amp;stateId=10&amp;stateName=Georgia" TargetMode="External"/><Relationship Id="rId479" Type="http://schemas.openxmlformats.org/officeDocument/2006/relationships/hyperlink" Target="http://www.gacommuteoptions.com/" TargetMode="External"/><Relationship Id="rId36" Type="http://schemas.openxmlformats.org/officeDocument/2006/relationships/hyperlink" Target="http://energize.asu.edu/docs/gios/energize/2012year2/EnergizePhoenixYear2Report.pdf" TargetMode="External"/><Relationship Id="rId283" Type="http://schemas.openxmlformats.org/officeDocument/2006/relationships/hyperlink" Target="http://www1.eere.energy.gov/buildings/betterbuildings/neighborhoods/oregon_profile.html" TargetMode="External"/><Relationship Id="rId339" Type="http://schemas.openxmlformats.org/officeDocument/2006/relationships/hyperlink" Target="http://sgnarc.ncat.org/engine/index.php/resources/2005/10/03/Smart-Growth-In-Action-Livable-Communities-Program-MinneapolisSt-Paul-Metropolitan-Area-Minnesota" TargetMode="External"/><Relationship Id="rId490" Type="http://schemas.openxmlformats.org/officeDocument/2006/relationships/hyperlink" Target="http://faf.ornl.gov/fafweb/Extraction1.aspx" TargetMode="External"/><Relationship Id="rId504" Type="http://schemas.openxmlformats.org/officeDocument/2006/relationships/hyperlink" Target="http://faf.ornl.gov/fafweb/Extraction1.aspx" TargetMode="External"/><Relationship Id="rId546" Type="http://schemas.openxmlformats.org/officeDocument/2006/relationships/hyperlink" Target="http://faf.ornl.gov/fafweb/Extraction1.aspx" TargetMode="External"/><Relationship Id="rId78" Type="http://schemas.openxmlformats.org/officeDocument/2006/relationships/hyperlink" Target="http://www.dsireusa.org/incentives/incentive.cfm?Incentive_Code=CA65R&amp;re=0&amp;ee=0" TargetMode="External"/><Relationship Id="rId101" Type="http://schemas.openxmlformats.org/officeDocument/2006/relationships/hyperlink" Target="http://www.buildingrating.org/content/us-policy-briefs" TargetMode="External"/><Relationship Id="rId143" Type="http://schemas.openxmlformats.org/officeDocument/2006/relationships/hyperlink" Target="http://www.atlantaga.gov/index.aspx?page=154" TargetMode="External"/><Relationship Id="rId185" Type="http://schemas.openxmlformats.org/officeDocument/2006/relationships/hyperlink" Target="http://charmeck.org/mecklenburg/county/LUESA/sustainability/Documents/MC%20Environmental%20Sustainability%20Plan%20FY2012.pdf" TargetMode="External"/><Relationship Id="rId350" Type="http://schemas.openxmlformats.org/officeDocument/2006/relationships/hyperlink" Target="http://stlouis-mo.gov/government/departments/aldermen/city-laws/board-bills.cfm?bbDetail=true&amp;BBId=7854" TargetMode="External"/><Relationship Id="rId406" Type="http://schemas.openxmlformats.org/officeDocument/2006/relationships/hyperlink" Target="http://www.afdc.energy.gov/cleancities/coalition/lone-star" TargetMode="External"/><Relationship Id="rId9" Type="http://schemas.openxmlformats.org/officeDocument/2006/relationships/hyperlink" Target="http://www.atlantaga.gov/index.aspx?page=153" TargetMode="External"/><Relationship Id="rId210" Type="http://schemas.openxmlformats.org/officeDocument/2006/relationships/hyperlink" Target="http://www.greendallas.net/pdfs/FactSheet.pdf" TargetMode="External"/><Relationship Id="rId392" Type="http://schemas.openxmlformats.org/officeDocument/2006/relationships/hyperlink" Target="http://www.smartgrowthamerica.org/documents/cs/cs-policyanalysis.pdf" TargetMode="External"/><Relationship Id="rId448" Type="http://schemas.openxmlformats.org/officeDocument/2006/relationships/hyperlink" Target="http://htaindex.cnt.org/" TargetMode="External"/><Relationship Id="rId252" Type="http://schemas.openxmlformats.org/officeDocument/2006/relationships/hyperlink" Target="http://www.seattle.gov/environment/documents/Mpal%20Ops%20CAP%202012%20Framework%20Progress%20Report%20020713.pdf" TargetMode="External"/><Relationship Id="rId294" Type="http://schemas.openxmlformats.org/officeDocument/2006/relationships/hyperlink" Target="http://www.portlandoregon.gov/water/51768" TargetMode="External"/><Relationship Id="rId308" Type="http://schemas.openxmlformats.org/officeDocument/2006/relationships/hyperlink" Target="http://articles.baltimoresun.com/2012-04-24/news/bs-md-co-solar-project-20120424_1_solar-array-solar-energy-solar-industry" TargetMode="External"/><Relationship Id="rId515" Type="http://schemas.openxmlformats.org/officeDocument/2006/relationships/hyperlink" Target="http://www.rita.dot.gov/bts/data_and_statistics/by_region/state_and_local/index.html" TargetMode="External"/><Relationship Id="rId47" Type="http://schemas.openxmlformats.org/officeDocument/2006/relationships/hyperlink" Target="http://www.atlantaga.gov/index.aspx?page=18" TargetMode="External"/><Relationship Id="rId89" Type="http://schemas.openxmlformats.org/officeDocument/2006/relationships/hyperlink" Target="http://www.minneapolismn.gov/www/groups/public/@citycoordinator/documents/webcontent/convert_282738.pdf" TargetMode="External"/><Relationship Id="rId112" Type="http://schemas.openxmlformats.org/officeDocument/2006/relationships/hyperlink" Target="http://www.buildingrating.org/ammap" TargetMode="External"/><Relationship Id="rId154" Type="http://schemas.openxmlformats.org/officeDocument/2006/relationships/hyperlink" Target="http://www.miamigov.com/msi/pages/Climate%20Action/MiPlan%20Final%20062608.pdf" TargetMode="External"/><Relationship Id="rId361" Type="http://schemas.openxmlformats.org/officeDocument/2006/relationships/hyperlink" Target="http://www.ci.minneapolis.mn.us/cped/projects/cped_parking" TargetMode="External"/><Relationship Id="rId557" Type="http://schemas.openxmlformats.org/officeDocument/2006/relationships/hyperlink" Target="http://www.ntdprogram.gov/ntdprogram/data.htm" TargetMode="External"/><Relationship Id="rId196" Type="http://schemas.openxmlformats.org/officeDocument/2006/relationships/hyperlink" Target="http://www.portlandonline.com/auditor/?c=37766&amp;a=282597" TargetMode="External"/><Relationship Id="rId200" Type="http://schemas.openxmlformats.org/officeDocument/2006/relationships/hyperlink" Target="http://www.seattle.gov/purchasing/GrnPurchOverview.htm" TargetMode="External"/><Relationship Id="rId382" Type="http://schemas.openxmlformats.org/officeDocument/2006/relationships/hyperlink" Target="http://www4.eere.energy.gov/challenge/partners/better-buildings/denver" TargetMode="External"/><Relationship Id="rId417" Type="http://schemas.openxmlformats.org/officeDocument/2006/relationships/hyperlink" Target="http://www.afdc.energy.gov/cleancities/coalition/sacramento" TargetMode="External"/><Relationship Id="rId438" Type="http://schemas.openxmlformats.org/officeDocument/2006/relationships/hyperlink" Target="http://www.arb.ca.gov/msprog/truck-idling/2485.pdf" TargetMode="External"/><Relationship Id="rId459" Type="http://schemas.openxmlformats.org/officeDocument/2006/relationships/hyperlink" Target="http://htaindex.cnt.org/" TargetMode="External"/><Relationship Id="rId16" Type="http://schemas.openxmlformats.org/officeDocument/2006/relationships/hyperlink" Target="http://www.dallascityhall.com/forwardDallas/pdf/EnvironmentalElement.pdf" TargetMode="External"/><Relationship Id="rId221" Type="http://schemas.openxmlformats.org/officeDocument/2006/relationships/hyperlink" Target="http://pittsburghclimate.org/wp-content/uploads/2012/03/Sustainability-Best-Practices-Green-Building-Legislation-City-of-Pittsburgh-2011.pdf" TargetMode="External"/><Relationship Id="rId242" Type="http://schemas.openxmlformats.org/officeDocument/2006/relationships/hyperlink" Target="http://www.phila.gov/green/PDFs/GW2012Report.pdf" TargetMode="External"/><Relationship Id="rId263" Type="http://schemas.openxmlformats.org/officeDocument/2006/relationships/hyperlink" Target="http://www.elpasotexas.gov/sustainability/reports.asp" TargetMode="External"/><Relationship Id="rId284" Type="http://schemas.openxmlformats.org/officeDocument/2006/relationships/hyperlink" Target="http://www.sfenvironment.org/energy/energy-efficiency/commercial-and-multifamily-properties/sf-energy-watch" TargetMode="External"/><Relationship Id="rId319" Type="http://schemas.openxmlformats.org/officeDocument/2006/relationships/hyperlink" Target="http://www.sandiego.gov/water/conservation/index.shtml" TargetMode="External"/><Relationship Id="rId470" Type="http://schemas.openxmlformats.org/officeDocument/2006/relationships/hyperlink" Target="http://htaindex.cnt.org/" TargetMode="External"/><Relationship Id="rId491" Type="http://schemas.openxmlformats.org/officeDocument/2006/relationships/hyperlink" Target="http://www.rita.dot.gov/bts/data_and_statistics/by_region/state_and_local/index.html" TargetMode="External"/><Relationship Id="rId505" Type="http://schemas.openxmlformats.org/officeDocument/2006/relationships/hyperlink" Target="http://www.rita.dot.gov/bts/data_and_statistics/by_region/state_and_local/index.html" TargetMode="External"/><Relationship Id="rId526" Type="http://schemas.openxmlformats.org/officeDocument/2006/relationships/hyperlink" Target="http://faf.ornl.gov/fafweb/Extraction1.aspx" TargetMode="External"/><Relationship Id="rId37" Type="http://schemas.openxmlformats.org/officeDocument/2006/relationships/hyperlink" Target="http://www.portlandoregon.gov/bps/climate" TargetMode="External"/><Relationship Id="rId58" Type="http://schemas.openxmlformats.org/officeDocument/2006/relationships/hyperlink" Target="http://www.codegreenhouston.org/" TargetMode="External"/><Relationship Id="rId79" Type="http://schemas.openxmlformats.org/officeDocument/2006/relationships/hyperlink" Target="http://stlouis-mo.gov/government/departments/mayor/initiatives/sustainability/Sustainable-Policies-and-Ordinances.cfm" TargetMode="External"/><Relationship Id="rId102" Type="http://schemas.openxmlformats.org/officeDocument/2006/relationships/hyperlink" Target="http://www.buildingrating.org/content/us-policy-briefs" TargetMode="External"/><Relationship Id="rId123" Type="http://schemas.openxmlformats.org/officeDocument/2006/relationships/hyperlink" Target="http://www.bgesmartenergy.com/residential/home-performance-energy-star" TargetMode="External"/><Relationship Id="rId144" Type="http://schemas.openxmlformats.org/officeDocument/2006/relationships/hyperlink" Target="http://www.austintexas.gov/sites/default/files/files/ACPP%20resolution%2020070215-023.pdf" TargetMode="External"/><Relationship Id="rId330" Type="http://schemas.openxmlformats.org/officeDocument/2006/relationships/hyperlink" Target="http://www.tampagov.net/dept_green_tampa/files/2011_Information_Resources/Strategies_and_Reports/EECP_Final_Document_8_30_11.pdf" TargetMode="External"/><Relationship Id="rId547" Type="http://schemas.openxmlformats.org/officeDocument/2006/relationships/hyperlink" Target="http://www.rita.dot.gov/bts/data_and_statistics/by_region/state_and_local/index.html" TargetMode="External"/><Relationship Id="rId568" Type="http://schemas.openxmlformats.org/officeDocument/2006/relationships/hyperlink" Target="http://www.ntdprogram.gov/ntdprogram/data.htm" TargetMode="External"/><Relationship Id="rId90" Type="http://schemas.openxmlformats.org/officeDocument/2006/relationships/hyperlink" Target="http://www.nyc.gov/html/gbee/html/plan/ll87.shtml" TargetMode="External"/><Relationship Id="rId165" Type="http://schemas.openxmlformats.org/officeDocument/2006/relationships/hyperlink" Target="http://www.portlandoregon.gov/bps/49989" TargetMode="External"/><Relationship Id="rId186" Type="http://schemas.openxmlformats.org/officeDocument/2006/relationships/hyperlink" Target="http://intranet/HumanResources/Special%20Events/2013%20Employee%20Recognition%20Awards%20Program.pdf" TargetMode="External"/><Relationship Id="rId351" Type="http://schemas.openxmlformats.org/officeDocument/2006/relationships/hyperlink" Target="http://switchboard.nrdc.org/blogs/kbenfield/miami_21_leads_the_way_on_zoni.html" TargetMode="External"/><Relationship Id="rId372" Type="http://schemas.openxmlformats.org/officeDocument/2006/relationships/hyperlink" Target="http://www.phila.gov/green/pdfs/GW2012Report.pdf" TargetMode="External"/><Relationship Id="rId393" Type="http://schemas.openxmlformats.org/officeDocument/2006/relationships/hyperlink" Target="http://www.smartgrowthamerica.org/documents/cs/cs-policyanalysis.pdf" TargetMode="External"/><Relationship Id="rId407" Type="http://schemas.openxmlformats.org/officeDocument/2006/relationships/hyperlink" Target="http://www.afdc.energy.gov/cleancities/coalition/massachusetts" TargetMode="External"/><Relationship Id="rId428" Type="http://schemas.openxmlformats.org/officeDocument/2006/relationships/hyperlink" Target="http://www.abag.ca.gov/electric-vehicles/" TargetMode="External"/><Relationship Id="rId449" Type="http://schemas.openxmlformats.org/officeDocument/2006/relationships/hyperlink" Target="http://htaindex.cnt.org/" TargetMode="External"/><Relationship Id="rId211" Type="http://schemas.openxmlformats.org/officeDocument/2006/relationships/hyperlink" Target="http://phoenix.gov/greenphoenix/sustainability/summary/green.html" TargetMode="External"/><Relationship Id="rId232" Type="http://schemas.openxmlformats.org/officeDocument/2006/relationships/hyperlink" Target="http://www.sustainableshelby.com/full-planRef.%206.2.1" TargetMode="External"/><Relationship Id="rId253" Type="http://schemas.openxmlformats.org/officeDocument/2006/relationships/hyperlink" Target="http://issuu.com/austinclimateprotection/docs/city_of_austin_2010-2011_climate_action_report" TargetMode="External"/><Relationship Id="rId274" Type="http://schemas.openxmlformats.org/officeDocument/2006/relationships/hyperlink" Target="http://www.tampagov.net/dept_Mayor/Presentations/files/FY13_Tampa_BudgetBook.pdf" TargetMode="External"/><Relationship Id="rId295" Type="http://schemas.openxmlformats.org/officeDocument/2006/relationships/hyperlink" Target="http://www.sfwater.org/index.aspx?page=136" TargetMode="External"/><Relationship Id="rId309" Type="http://schemas.openxmlformats.org/officeDocument/2006/relationships/hyperlink" Target="http://www.houstontx.gov/mayor/press/20120713.html" TargetMode="External"/><Relationship Id="rId460" Type="http://schemas.openxmlformats.org/officeDocument/2006/relationships/hyperlink" Target="http://htaindex.cnt.org/" TargetMode="External"/><Relationship Id="rId481" Type="http://schemas.openxmlformats.org/officeDocument/2006/relationships/hyperlink" Target="http://www.rita.dot.gov/bts/data_and_statistics/by_region/state_and_local/index.html" TargetMode="External"/><Relationship Id="rId516" Type="http://schemas.openxmlformats.org/officeDocument/2006/relationships/hyperlink" Target="http://faf.ornl.gov/fafweb/Extraction1.aspx" TargetMode="External"/><Relationship Id="rId27" Type="http://schemas.openxmlformats.org/officeDocument/2006/relationships/hyperlink" Target="http://www.power2charlotte.com/welcome-to-power2/document-library.aspx" TargetMode="External"/><Relationship Id="rId48" Type="http://schemas.openxmlformats.org/officeDocument/2006/relationships/hyperlink" Target="http://www.greenriverside.com/" TargetMode="External"/><Relationship Id="rId69" Type="http://schemas.openxmlformats.org/officeDocument/2006/relationships/hyperlink" Target="http://fortworthtexas.gov/sustainability/default.aspx?id=70588" TargetMode="External"/><Relationship Id="rId113" Type="http://schemas.openxmlformats.org/officeDocument/2006/relationships/hyperlink" Target="http://www.buildingrating.org/ammap" TargetMode="External"/><Relationship Id="rId134" Type="http://schemas.openxmlformats.org/officeDocument/2006/relationships/hyperlink" Target="http://www.dcseu.com/for_your_home/DC_home_performance" TargetMode="External"/><Relationship Id="rId320" Type="http://schemas.openxmlformats.org/officeDocument/2006/relationships/hyperlink" Target="http://www.sandiego.gov/mwwd/environment/energy/index.shtml" TargetMode="External"/><Relationship Id="rId537" Type="http://schemas.openxmlformats.org/officeDocument/2006/relationships/hyperlink" Target="http://www.rita.dot.gov/bts/data_and_statistics/by_region/state_and_local/index.html" TargetMode="External"/><Relationship Id="rId558" Type="http://schemas.openxmlformats.org/officeDocument/2006/relationships/hyperlink" Target="http://www.ntdprogram.gov/ntdprogram/data.htm" TargetMode="External"/><Relationship Id="rId579" Type="http://schemas.openxmlformats.org/officeDocument/2006/relationships/hyperlink" Target="http://www.ntdprogram.gov/ntdprogram/data.htm" TargetMode="External"/><Relationship Id="rId80" Type="http://schemas.openxmlformats.org/officeDocument/2006/relationships/hyperlink" Target="http://www.coolcalifornia.org/case-study/riverside-an-emerald-city" TargetMode="External"/><Relationship Id="rId155" Type="http://schemas.openxmlformats.org/officeDocument/2006/relationships/hyperlink" Target="http://www.minneapolismn.gov/sustainability/approach/sustainability_leadingbyexample" TargetMode="External"/><Relationship Id="rId176" Type="http://schemas.openxmlformats.org/officeDocument/2006/relationships/hyperlink" Target="http://www.pittsburghpa.gov/green/about.htm" TargetMode="External"/><Relationship Id="rId197" Type="http://schemas.openxmlformats.org/officeDocument/2006/relationships/hyperlink" Target="http://www.sfenvironment.org/sites/default/files/fliers/files/sfe_th_green_purchasing_priorities_summary.pdf" TargetMode="External"/><Relationship Id="rId341" Type="http://schemas.openxmlformats.org/officeDocument/2006/relationships/hyperlink" Target="http://zoningmatters.org/sites/zoningmatters.org/files/Public%20Draft%20Module%203%20-%20Development%20Standards.pdf" TargetMode="External"/><Relationship Id="rId362" Type="http://schemas.openxmlformats.org/officeDocument/2006/relationships/hyperlink" Target="http://planphilly.com/articles/2010/11/16/cutting-through-zoning-code-parking-and-loading" TargetMode="External"/><Relationship Id="rId383" Type="http://schemas.openxmlformats.org/officeDocument/2006/relationships/hyperlink" Target="http://www4.eere.energy.gov/challenge/partners/better-buildings/houston" TargetMode="External"/><Relationship Id="rId418" Type="http://schemas.openxmlformats.org/officeDocument/2006/relationships/hyperlink" Target="http://www.afdc.energy.gov/cleancities/coalition/alamo-area" TargetMode="External"/><Relationship Id="rId439" Type="http://schemas.openxmlformats.org/officeDocument/2006/relationships/hyperlink" Target="http://ssi.ucsd.edu/scc/images/San_Diego_Climate_Plan_draft_8_12.pdf" TargetMode="External"/><Relationship Id="rId201" Type="http://schemas.openxmlformats.org/officeDocument/2006/relationships/hyperlink" Target="http://www.minneapolismn.gov/www/groups/public/@citycoordinator/documents/webcontent/convert_261511.pdf" TargetMode="External"/><Relationship Id="rId222" Type="http://schemas.openxmlformats.org/officeDocument/2006/relationships/hyperlink" Target="http://pittsburghclimate.org/wp-content/uploads/2012/03/Sustainability-Best-Practices-Green-Building-Legislation-City-of-Pittsburgh-2011.pdf" TargetMode="External"/><Relationship Id="rId243" Type="http://schemas.openxmlformats.org/officeDocument/2006/relationships/hyperlink" Target="http://www4.eere.energy.gov/challenge/partners/better-buildings/denver" TargetMode="External"/><Relationship Id="rId264" Type="http://schemas.openxmlformats.org/officeDocument/2006/relationships/hyperlink" Target="http://www.environmentla.org/programs/energy.htm" TargetMode="External"/><Relationship Id="rId285" Type="http://schemas.openxmlformats.org/officeDocument/2006/relationships/hyperlink" Target="http://www.mncee.org/hes-mpls/" TargetMode="External"/><Relationship Id="rId450" Type="http://schemas.openxmlformats.org/officeDocument/2006/relationships/hyperlink" Target="http://htaindex.cnt.org/" TargetMode="External"/><Relationship Id="rId471" Type="http://schemas.openxmlformats.org/officeDocument/2006/relationships/hyperlink" Target="http://htaindex.cnt.org/" TargetMode="External"/><Relationship Id="rId506" Type="http://schemas.openxmlformats.org/officeDocument/2006/relationships/hyperlink" Target="http://faf.ornl.gov/fafweb/Extraction1.aspx" TargetMode="External"/><Relationship Id="rId17" Type="http://schemas.openxmlformats.org/officeDocument/2006/relationships/hyperlink" Target="http://sfmea.sfplanning.org/GHG_Reduction_Strategy.pdf" TargetMode="External"/><Relationship Id="rId38" Type="http://schemas.openxmlformats.org/officeDocument/2006/relationships/hyperlink" Target="http://www.seattle.gov/environment/documents/2008-community-inventory-fullreport.pdf" TargetMode="External"/><Relationship Id="rId59" Type="http://schemas.openxmlformats.org/officeDocument/2006/relationships/hyperlink" Target="http://www.sanantonio.gov/dsd/training.asp" TargetMode="External"/><Relationship Id="rId103" Type="http://schemas.openxmlformats.org/officeDocument/2006/relationships/hyperlink" Target="http://www.sfenvironment.org/ecb" TargetMode="External"/><Relationship Id="rId124" Type="http://schemas.openxmlformats.org/officeDocument/2006/relationships/hyperlink" Target="http://www.illinoishomeperformance.org/" TargetMode="External"/><Relationship Id="rId310" Type="http://schemas.openxmlformats.org/officeDocument/2006/relationships/hyperlink" Target="http://savedallaswater.com/rebates-and-incentives/" TargetMode="External"/><Relationship Id="rId492" Type="http://schemas.openxmlformats.org/officeDocument/2006/relationships/hyperlink" Target="http://faf.ornl.gov/fafweb/Extraction1.aspx" TargetMode="External"/><Relationship Id="rId527" Type="http://schemas.openxmlformats.org/officeDocument/2006/relationships/hyperlink" Target="http://www.rita.dot.gov/bts/data_and_statistics/by_region/state_and_local/index.html" TargetMode="External"/><Relationship Id="rId548" Type="http://schemas.openxmlformats.org/officeDocument/2006/relationships/hyperlink" Target="http://faf.ornl.gov/fafweb/Extraction1.aspx" TargetMode="External"/><Relationship Id="rId569" Type="http://schemas.openxmlformats.org/officeDocument/2006/relationships/hyperlink" Target="http://www.ntdprogram.gov/ntdprogram/data.htm" TargetMode="External"/><Relationship Id="rId70" Type="http://schemas.openxmlformats.org/officeDocument/2006/relationships/hyperlink" Target="http://www.greenhoustontx.gov/pdf/ordinance-greenbuilding.pdf" TargetMode="External"/><Relationship Id="rId91" Type="http://schemas.openxmlformats.org/officeDocument/2006/relationships/hyperlink" Target="http://www.muelleraustin.com/uploads/mgrg.pdf" TargetMode="External"/><Relationship Id="rId145" Type="http://schemas.openxmlformats.org/officeDocument/2006/relationships/hyperlink" Target="http://www.baltimorecitycouncil.com/Council_Journal/09-03-02~6th.pdf" TargetMode="External"/><Relationship Id="rId166" Type="http://schemas.openxmlformats.org/officeDocument/2006/relationships/hyperlink" Target="http://www.sacgp.org/climate_action_plan.html" TargetMode="External"/><Relationship Id="rId187" Type="http://schemas.openxmlformats.org/officeDocument/2006/relationships/hyperlink" Target="http://www.dallascityhall.com/oeq/ems_whatisit.html" TargetMode="External"/><Relationship Id="rId331" Type="http://schemas.openxmlformats.org/officeDocument/2006/relationships/hyperlink" Target="http://www.tampagov.net/dept_green_tampa/files/2011_Information_Resources/Strategies_and_Reports/EECP_Final_Document_8_30_11.pdf" TargetMode="External"/><Relationship Id="rId352" Type="http://schemas.openxmlformats.org/officeDocument/2006/relationships/hyperlink" Target="http://www.placemakers.com/wp-content/uploads/2013/04/CodesStudy_Apr2013_WEB.htm" TargetMode="External"/><Relationship Id="rId373" Type="http://schemas.openxmlformats.org/officeDocument/2006/relationships/hyperlink" Target="http://www.minneapolismn.gov/sustainability/climate/index.htm" TargetMode="External"/><Relationship Id="rId394" Type="http://schemas.openxmlformats.org/officeDocument/2006/relationships/hyperlink" Target="http://www.smartgrowthamerica.org/documents/cs-2012-policy-analysis.pdf" TargetMode="External"/><Relationship Id="rId408" Type="http://schemas.openxmlformats.org/officeDocument/2006/relationships/hyperlink" Target="http://www.afdc.energy.gov/cleancities/coalition/chicago" TargetMode="External"/><Relationship Id="rId429" Type="http://schemas.openxmlformats.org/officeDocument/2006/relationships/hyperlink" Target="http://www.afdc.energy.gov/laws/local/" TargetMode="External"/><Relationship Id="rId580" Type="http://schemas.openxmlformats.org/officeDocument/2006/relationships/hyperlink" Target="http://www.ntdprogram.gov/ntdprogram/data.htm" TargetMode="External"/><Relationship Id="rId1" Type="http://schemas.openxmlformats.org/officeDocument/2006/relationships/hyperlink" Target="http://www.minneapolismn.gov/sustainability/reports/sustainability_minneapolisgreenprint" TargetMode="External"/><Relationship Id="rId212" Type="http://schemas.openxmlformats.org/officeDocument/2006/relationships/hyperlink" Target="http://phoenix.gov/greenphoenix/sustainability/epp/purchasing/index.html" TargetMode="External"/><Relationship Id="rId233" Type="http://schemas.openxmlformats.org/officeDocument/2006/relationships/hyperlink" Target="http://www.coj.net/departments/environmental-and-compliance/office-of-sustainability-initiatives.aspx" TargetMode="External"/><Relationship Id="rId254" Type="http://schemas.openxmlformats.org/officeDocument/2006/relationships/hyperlink" Target="http://dgs.dc.gov/page/alternative-financing" TargetMode="External"/><Relationship Id="rId440" Type="http://schemas.openxmlformats.org/officeDocument/2006/relationships/hyperlink" Target="http://www.slpl.lib.mo.us/cco/ords/data/ord8137.htm" TargetMode="External"/><Relationship Id="rId28" Type="http://schemas.openxmlformats.org/officeDocument/2006/relationships/hyperlink" Target="http://www.sustainableshelby.com/sites/default/files/SS_Plan/01_SustainableShelbyImplementationPlan.pdf" TargetMode="External"/><Relationship Id="rId49" Type="http://schemas.openxmlformats.org/officeDocument/2006/relationships/hyperlink" Target="http://www.pittsburghpa.gov/green/about.htm" TargetMode="External"/><Relationship Id="rId114" Type="http://schemas.openxmlformats.org/officeDocument/2006/relationships/hyperlink" Target="http://www.buildingrating.org/ammap" TargetMode="External"/><Relationship Id="rId275" Type="http://schemas.openxmlformats.org/officeDocument/2006/relationships/hyperlink" Target="http://austinenergy.com/About%20Us/Company%20Profile/dataLibrary/pdfs/EES/EES-programExpenditures.pdf" TargetMode="External"/><Relationship Id="rId296" Type="http://schemas.openxmlformats.org/officeDocument/2006/relationships/hyperlink" Target="http://www.sfenvironment.org/sites/default/files/fliers/files/puc_cap_fy1011_2012_0430.pdf" TargetMode="External"/><Relationship Id="rId300" Type="http://schemas.openxmlformats.org/officeDocument/2006/relationships/hyperlink" Target="http://www.austintexas.gov/department/water-conservation" TargetMode="External"/><Relationship Id="rId461" Type="http://schemas.openxmlformats.org/officeDocument/2006/relationships/hyperlink" Target="http://htaindex.cnt.org/" TargetMode="External"/><Relationship Id="rId482" Type="http://schemas.openxmlformats.org/officeDocument/2006/relationships/hyperlink" Target="http://faf.ornl.gov/fafweb/Extraction1.aspx" TargetMode="External"/><Relationship Id="rId517" Type="http://schemas.openxmlformats.org/officeDocument/2006/relationships/hyperlink" Target="http://www.rita.dot.gov/bts/data_and_statistics/by_region/state_and_local/index.html" TargetMode="External"/><Relationship Id="rId538" Type="http://schemas.openxmlformats.org/officeDocument/2006/relationships/hyperlink" Target="http://faf.ornl.gov/fafweb/Extraction1.aspx" TargetMode="External"/><Relationship Id="rId559" Type="http://schemas.openxmlformats.org/officeDocument/2006/relationships/hyperlink" Target="http://www.ntdprogram.gov/ntdprogram/data.htm" TargetMode="External"/><Relationship Id="rId60" Type="http://schemas.openxmlformats.org/officeDocument/2006/relationships/hyperlink" Target="http://fortworthtexas.gov/planninganddevelopment/dev.aspx?id=77536" TargetMode="External"/><Relationship Id="rId81" Type="http://schemas.openxmlformats.org/officeDocument/2006/relationships/hyperlink" Target="http://pittsburghclimate.org/wp-content/uploads/2012/03/Sustainability-Best-Practices-Green-Building-Legislation-City-of-Pittsburgh-2011.pdf" TargetMode="External"/><Relationship Id="rId135" Type="http://schemas.openxmlformats.org/officeDocument/2006/relationships/hyperlink" Target="http://www.keystonehelp.com/index.php" TargetMode="External"/><Relationship Id="rId156" Type="http://schemas.openxmlformats.org/officeDocument/2006/relationships/hyperlink" Target="http://www.nyc.gov/html/om/pdf/2007/pr383-07_eo_109.pdf" TargetMode="External"/><Relationship Id="rId177" Type="http://schemas.openxmlformats.org/officeDocument/2006/relationships/hyperlink" Target="http://www.nyc.gov/html/dcas/html/employees/energy.shtml" TargetMode="External"/><Relationship Id="rId198" Type="http://schemas.openxmlformats.org/officeDocument/2006/relationships/hyperlink" Target="http://www.nyc.gov/html/nycwasteless/html/laws/local_energyefficientprocurement.shtml" TargetMode="External"/><Relationship Id="rId321" Type="http://schemas.openxmlformats.org/officeDocument/2006/relationships/hyperlink" Target="http://www.greenriverside.com/Green-Rebate-Programs-7/Residential/Water_Efficiency-113" TargetMode="External"/><Relationship Id="rId342" Type="http://schemas.openxmlformats.org/officeDocument/2006/relationships/hyperlink" Target="http://www.rewritebaltimore.org/index.html" TargetMode="External"/><Relationship Id="rId363" Type="http://schemas.openxmlformats.org/officeDocument/2006/relationships/hyperlink" Target="http://www.scribd.com/doc/28487280/Chicago-Zoning-Ordinance-Parking-Table-17-10-0207a" TargetMode="External"/><Relationship Id="rId384" Type="http://schemas.openxmlformats.org/officeDocument/2006/relationships/hyperlink" Target="http://www4.eere.energy.gov/challenge/partners/better-buildings/atlanta" TargetMode="External"/><Relationship Id="rId419" Type="http://schemas.openxmlformats.org/officeDocument/2006/relationships/hyperlink" Target="http://www.afdc.energy.gov/cleancities/coalition/san-francisco" TargetMode="External"/><Relationship Id="rId570" Type="http://schemas.openxmlformats.org/officeDocument/2006/relationships/hyperlink" Target="http://www.ntdprogram.gov/ntdprogram/data.htm" TargetMode="External"/><Relationship Id="rId202" Type="http://schemas.openxmlformats.org/officeDocument/2006/relationships/hyperlink" Target="http://www.minneapolismn.gov/www/groups/public/@citycoordinator/documents/webcontent/convert_282738.pdf" TargetMode="External"/><Relationship Id="rId223" Type="http://schemas.openxmlformats.org/officeDocument/2006/relationships/hyperlink" Target="http://www.elpasotexas.gov/sustainability/projects_leedbuildings.asp" TargetMode="External"/><Relationship Id="rId244" Type="http://schemas.openxmlformats.org/officeDocument/2006/relationships/hyperlink" Target="http://www4.eere.energy.gov/challenge/partners/better-buildings/houston" TargetMode="External"/><Relationship Id="rId430" Type="http://schemas.openxmlformats.org/officeDocument/2006/relationships/hyperlink" Target="http://data.capcog.org/air-quality/engineoff/eo/EngineOff.html" TargetMode="External"/><Relationship Id="rId18" Type="http://schemas.openxmlformats.org/officeDocument/2006/relationships/hyperlink" Target="http://www.sandiego.gov/environmental-services/pdf/sustainable/finalcmap.pdf" TargetMode="External"/><Relationship Id="rId39" Type="http://schemas.openxmlformats.org/officeDocument/2006/relationships/hyperlink" Target="http://sustainable.dc.gov/sites/default/files/dc/sites/sustainable/page_content/attachments/SDC%20Final%20Plan_0.pdf" TargetMode="External"/><Relationship Id="rId265" Type="http://schemas.openxmlformats.org/officeDocument/2006/relationships/hyperlink" Target="http://www.mml.org/pdf/resources/greencommunities/2012-MGC_SE_Detroit.pdf" TargetMode="External"/><Relationship Id="rId286" Type="http://schemas.openxmlformats.org/officeDocument/2006/relationships/hyperlink" Target="../../Communications%20and%20Roll%20Out/Infographic/retrofit.cityofchicago.org" TargetMode="External"/><Relationship Id="rId451" Type="http://schemas.openxmlformats.org/officeDocument/2006/relationships/hyperlink" Target="http://htaindex.cnt.org/" TargetMode="External"/><Relationship Id="rId472" Type="http://schemas.openxmlformats.org/officeDocument/2006/relationships/hyperlink" Target="http://htaindex.cnt.org/" TargetMode="External"/><Relationship Id="rId493" Type="http://schemas.openxmlformats.org/officeDocument/2006/relationships/hyperlink" Target="http://www.rita.dot.gov/bts/data_and_statistics/by_region/state_and_local/index.html" TargetMode="External"/><Relationship Id="rId507" Type="http://schemas.openxmlformats.org/officeDocument/2006/relationships/hyperlink" Target="http://www.rita.dot.gov/bts/data_and_statistics/by_region/state_and_local/index.html" TargetMode="External"/><Relationship Id="rId528" Type="http://schemas.openxmlformats.org/officeDocument/2006/relationships/hyperlink" Target="http://faf.ornl.gov/fafweb/Extraction1.aspx" TargetMode="External"/><Relationship Id="rId549" Type="http://schemas.openxmlformats.org/officeDocument/2006/relationships/hyperlink" Target="http://www.ntdprogram.gov/ntdprogram/data.htm" TargetMode="External"/><Relationship Id="rId50" Type="http://schemas.openxmlformats.org/officeDocument/2006/relationships/hyperlink" Target="http://fortworthtexas.gov/sustainability/" TargetMode="External"/><Relationship Id="rId104" Type="http://schemas.openxmlformats.org/officeDocument/2006/relationships/hyperlink" Target="http://www.buildingrating.org/content/us-policy-briefs" TargetMode="External"/><Relationship Id="rId125" Type="http://schemas.openxmlformats.org/officeDocument/2006/relationships/hyperlink" Target="http://www.xcelenergy.com/Save_Money_&amp;_Energy/Find_a_Rebate/Home_Performance_with_ENERGY_STAR_-_CO" TargetMode="External"/><Relationship Id="rId146" Type="http://schemas.openxmlformats.org/officeDocument/2006/relationships/hyperlink" Target="http://www.cityofboston.gov/environmentalandenergy/conservation/Renew_Boston.asp" TargetMode="External"/><Relationship Id="rId167" Type="http://schemas.openxmlformats.org/officeDocument/2006/relationships/hyperlink" Target="http://www.sanjoseca.gov/Index.aspx?NID=1417" TargetMode="External"/><Relationship Id="rId188" Type="http://schemas.openxmlformats.org/officeDocument/2006/relationships/hyperlink" Target="http://www.greenprintdenver.org/wp-content/uploads/2012/09/GreenPrintReport_FINAL_Spread.pdf" TargetMode="External"/><Relationship Id="rId311" Type="http://schemas.openxmlformats.org/officeDocument/2006/relationships/hyperlink" Target="http://phoenix.gov/greenphoenix/sustainability/summary/green.html" TargetMode="External"/><Relationship Id="rId332" Type="http://schemas.openxmlformats.org/officeDocument/2006/relationships/hyperlink" Target="http://www.cityofmemphis.org/Government/PublicWorks/EnvironmentalEngineering/WastewaterTreatmentPlants.aspx" TargetMode="External"/><Relationship Id="rId353" Type="http://schemas.openxmlformats.org/officeDocument/2006/relationships/hyperlink" Target="http://ww.charmeck.org/Planning/ZoningOrdinance/ZoningOrdCityChapter10.pdf" TargetMode="External"/><Relationship Id="rId374" Type="http://schemas.openxmlformats.org/officeDocument/2006/relationships/hyperlink" Target="http://www.dallascityhall.com/committee_briefings/briefings0412/TEC_Overview-ISO-14001-EMS_042312.pdf" TargetMode="External"/><Relationship Id="rId395" Type="http://schemas.openxmlformats.org/officeDocument/2006/relationships/hyperlink" Target="http://philadelphiastreets.com/pdf/CS%20Handbook_2013.pdf" TargetMode="External"/><Relationship Id="rId409" Type="http://schemas.openxmlformats.org/officeDocument/2006/relationships/hyperlink" Target="http://www.afdc.energy.gov/cleancities/coalition/clean-fuels-ohio" TargetMode="External"/><Relationship Id="rId560" Type="http://schemas.openxmlformats.org/officeDocument/2006/relationships/hyperlink" Target="http://www.ntdprogram.gov/ntdprogram/data.htm" TargetMode="External"/><Relationship Id="rId581" Type="http://schemas.openxmlformats.org/officeDocument/2006/relationships/hyperlink" Target="http://www.ntdprogram.gov/ntdprogram/data.htm" TargetMode="External"/><Relationship Id="rId71" Type="http://schemas.openxmlformats.org/officeDocument/2006/relationships/hyperlink" Target="http://www.minneapolismn.gov/www/groups/public/@citycoordinator/documents/webcontent/convert_282738.pdf" TargetMode="External"/><Relationship Id="rId92" Type="http://schemas.openxmlformats.org/officeDocument/2006/relationships/hyperlink" Target="http://www.cityofchicago.org/content/dam/city/depts/zlup/Sustainable_Development/Publications/GreenMatrix2011DHED.pdf" TargetMode="External"/><Relationship Id="rId213" Type="http://schemas.openxmlformats.org/officeDocument/2006/relationships/hyperlink" Target="http://www.dsireusa.org/incentives/index.cfm?re=0&amp;ee=0&amp;spv=0&amp;st=0&amp;srp=1&amp;state=GA" TargetMode="External"/><Relationship Id="rId234" Type="http://schemas.openxmlformats.org/officeDocument/2006/relationships/hyperlink" Target="http://www.floridagreenbuilding.org/local-government-certifications" TargetMode="External"/><Relationship Id="rId420" Type="http://schemas.openxmlformats.org/officeDocument/2006/relationships/hyperlink" Target="http://www.afdc.energy.gov/cleancities/coalition/st-louis" TargetMode="External"/><Relationship Id="rId2" Type="http://schemas.openxmlformats.org/officeDocument/2006/relationships/hyperlink" Target="http://www.nyc.gov/html/planyc2030/html/theplan/the-plan.shtml" TargetMode="External"/><Relationship Id="rId29" Type="http://schemas.openxmlformats.org/officeDocument/2006/relationships/hyperlink" Target="http://www.greenribboncommission.org/downloads/GRC%20February%2011%20City%20of%20Boston%20Presentation%20Materials.pdf" TargetMode="External"/><Relationship Id="rId255" Type="http://schemas.openxmlformats.org/officeDocument/2006/relationships/hyperlink" Target="http://www.cityofchicago.org/content/dam/city/depts/mayor/Press%20Room/Press%20Releases/2012/April/4.24.12InfraTrust.pdf" TargetMode="External"/><Relationship Id="rId276" Type="http://schemas.openxmlformats.org/officeDocument/2006/relationships/hyperlink" Target="http://www.oncor.com/EN/Documents/Investors/Q4%2011%20INVDECK.pdf" TargetMode="External"/><Relationship Id="rId297" Type="http://schemas.openxmlformats.org/officeDocument/2006/relationships/hyperlink" Target="http://www.nyc.gov/html/planyc2030/html/publications/publications.shtml" TargetMode="External"/><Relationship Id="rId441" Type="http://schemas.openxmlformats.org/officeDocument/2006/relationships/hyperlink" Target="http://www.afdc.energy.gov/laws/local/" TargetMode="External"/><Relationship Id="rId462" Type="http://schemas.openxmlformats.org/officeDocument/2006/relationships/hyperlink" Target="http://htaindex.cnt.org/" TargetMode="External"/><Relationship Id="rId483" Type="http://schemas.openxmlformats.org/officeDocument/2006/relationships/hyperlink" Target="http://www.rita.dot.gov/bts/data_and_statistics/by_region/state_and_local/index.html" TargetMode="External"/><Relationship Id="rId518" Type="http://schemas.openxmlformats.org/officeDocument/2006/relationships/hyperlink" Target="http://faf.ornl.gov/fafweb/Extraction1.aspx" TargetMode="External"/><Relationship Id="rId539" Type="http://schemas.openxmlformats.org/officeDocument/2006/relationships/hyperlink" Target="http://www.rita.dot.gov/bts/data_and_statistics/by_region/state_and_local/index.html" TargetMode="External"/><Relationship Id="rId40" Type="http://schemas.openxmlformats.org/officeDocument/2006/relationships/hyperlink" Target="http://austintexas.gov/imagineaustin" TargetMode="External"/><Relationship Id="rId115" Type="http://schemas.openxmlformats.org/officeDocument/2006/relationships/hyperlink" Target="http://www.buildingrating.org/ammap" TargetMode="External"/><Relationship Id="rId136" Type="http://schemas.openxmlformats.org/officeDocument/2006/relationships/hyperlink" Target="http://www.azhomeperformance.com/index.html" TargetMode="External"/><Relationship Id="rId157" Type="http://schemas.openxmlformats.org/officeDocument/2006/relationships/hyperlink" Target="http://www.phila.gov/green/greenworks/" TargetMode="External"/><Relationship Id="rId178" Type="http://schemas.openxmlformats.org/officeDocument/2006/relationships/hyperlink" Target="http://www.miamigov.com/msi" TargetMode="External"/><Relationship Id="rId301" Type="http://schemas.openxmlformats.org/officeDocument/2006/relationships/hyperlink" Target="http://www.weat.org/texaswet/wet2011-09.pdf" TargetMode="External"/><Relationship Id="rId322" Type="http://schemas.openxmlformats.org/officeDocument/2006/relationships/hyperlink" Target="http://www.sanjoseca.gov/ArchiveCenter/ViewFile/Item/1759" TargetMode="External"/><Relationship Id="rId343" Type="http://schemas.openxmlformats.org/officeDocument/2006/relationships/hyperlink" Target="http://www.denvergov.org/planning/BlueprintDenver/tabid/431883/Default.aspx" TargetMode="External"/><Relationship Id="rId364" Type="http://schemas.openxmlformats.org/officeDocument/2006/relationships/hyperlink" Target="http://www.transformbaltimore.net/portal/transv2/transdraft2?pointId=d113837e2489" TargetMode="External"/><Relationship Id="rId550" Type="http://schemas.openxmlformats.org/officeDocument/2006/relationships/hyperlink" Target="http://www.ntdprogram.gov/ntdprogram/data.htm" TargetMode="External"/><Relationship Id="rId61" Type="http://schemas.openxmlformats.org/officeDocument/2006/relationships/hyperlink" Target="http://www.mass.gov/eea/docs/doer/green-communities/grant-program/stretch-code-qa-feb10-2011.pdf" TargetMode="External"/><Relationship Id="rId82" Type="http://schemas.openxmlformats.org/officeDocument/2006/relationships/hyperlink" Target="http://www.tampagov.net/dept_green_tampa/files/2011_Information_Resources/Codes_and_Ordinances/Chapter_17.5_Ordinance_Section_17.5-201.205.pdf" TargetMode="External"/><Relationship Id="rId199" Type="http://schemas.openxmlformats.org/officeDocument/2006/relationships/hyperlink" Target="http://www.nyc.gov/html/gbee/html/public/leed.shtml" TargetMode="External"/><Relationship Id="rId203" Type="http://schemas.openxmlformats.org/officeDocument/2006/relationships/hyperlink" Target="http://www.phila.gov/green/index.html" TargetMode="External"/><Relationship Id="rId385" Type="http://schemas.openxmlformats.org/officeDocument/2006/relationships/hyperlink" Target="http://www4.eere.energy.gov/challenge/partners/better-buildings/sacramento" TargetMode="External"/><Relationship Id="rId571" Type="http://schemas.openxmlformats.org/officeDocument/2006/relationships/hyperlink" Target="http://www.ntdprogram.gov/ntdprogram/data.htm" TargetMode="External"/><Relationship Id="rId19" Type="http://schemas.openxmlformats.org/officeDocument/2006/relationships/hyperlink" Target="http://www.greenriverside.com/userfiles/Green_Action_Plan-2012.pdf" TargetMode="External"/><Relationship Id="rId224" Type="http://schemas.openxmlformats.org/officeDocument/2006/relationships/hyperlink" Target="http://fortworthtexas.gov/sustainability/default.aspx?id=70588" TargetMode="External"/><Relationship Id="rId245" Type="http://schemas.openxmlformats.org/officeDocument/2006/relationships/hyperlink" Target="http://www.dallascityhall.com/oeq/ems.html" TargetMode="External"/><Relationship Id="rId266" Type="http://schemas.openxmlformats.org/officeDocument/2006/relationships/hyperlink" Target="http://www.portlandonline.com/portlandplan/index.cfm?a=346111&amp;c=51427" TargetMode="External"/><Relationship Id="rId287" Type="http://schemas.openxmlformats.org/officeDocument/2006/relationships/hyperlink" Target="http://houstongoc.org/sites/default/files/u10/CenterPoint%20-%20Reducing%20Energy%20Use%20%26%20Purchasing%20Renewables.pdf" TargetMode="External"/><Relationship Id="rId410" Type="http://schemas.openxmlformats.org/officeDocument/2006/relationships/hyperlink" Target="http://www.afdc.energy.gov/cleancities/coalition/denver" TargetMode="External"/><Relationship Id="rId431" Type="http://schemas.openxmlformats.org/officeDocument/2006/relationships/hyperlink" Target="http://public.leginfo.state.ny.us/menuf.cgi" TargetMode="External"/><Relationship Id="rId452" Type="http://schemas.openxmlformats.org/officeDocument/2006/relationships/hyperlink" Target="http://htaindex.cnt.org/" TargetMode="External"/><Relationship Id="rId473" Type="http://schemas.openxmlformats.org/officeDocument/2006/relationships/hyperlink" Target="http://htaindex.cnt.org/" TargetMode="External"/><Relationship Id="rId494" Type="http://schemas.openxmlformats.org/officeDocument/2006/relationships/hyperlink" Target="http://faf.ornl.gov/fafweb/Extraction1.aspx" TargetMode="External"/><Relationship Id="rId508" Type="http://schemas.openxmlformats.org/officeDocument/2006/relationships/hyperlink" Target="http://faf.ornl.gov/fafweb/Extraction1.aspx" TargetMode="External"/><Relationship Id="rId529" Type="http://schemas.openxmlformats.org/officeDocument/2006/relationships/hyperlink" Target="http://www.rita.dot.gov/bts/data_and_statistics/by_region/state_and_local/index.html" TargetMode="External"/><Relationship Id="rId30" Type="http://schemas.openxmlformats.org/officeDocument/2006/relationships/hyperlink" Target="http://charmeck.org/mecklenburg/county/LUESA/sustainability/Pages/default.aspx" TargetMode="External"/><Relationship Id="rId105" Type="http://schemas.openxmlformats.org/officeDocument/2006/relationships/hyperlink" Target="http://www.buildingrating.org/ammap" TargetMode="External"/><Relationship Id="rId126" Type="http://schemas.openxmlformats.org/officeDocument/2006/relationships/hyperlink" Target="http://www.consumersenergy.com/eeprograms/HPHome.aspx?id=4896" TargetMode="External"/><Relationship Id="rId147" Type="http://schemas.openxmlformats.org/officeDocument/2006/relationships/hyperlink" Target="http://www.cityofchicago.org/city/en/progs/env/sustainable_chicago2015.html" TargetMode="External"/><Relationship Id="rId168" Type="http://schemas.openxmlformats.org/officeDocument/2006/relationships/hyperlink" Target="http://www.atlantaga.gov/index.aspx?page=154" TargetMode="External"/><Relationship Id="rId312" Type="http://schemas.openxmlformats.org/officeDocument/2006/relationships/hyperlink" Target="http://www.atlantawatershed.org/conservation/" TargetMode="External"/><Relationship Id="rId333" Type="http://schemas.openxmlformats.org/officeDocument/2006/relationships/hyperlink" Target="http://www.dwsd.org/downloads_n/announcements/in_the_flow/itf_2012/in_the_flow_summer_2012.pdf" TargetMode="External"/><Relationship Id="rId354" Type="http://schemas.openxmlformats.org/officeDocument/2006/relationships/hyperlink" Target="http://www.placemakers.com/wp-content/uploads/2013/04/CodesStudy_Apr2013_WEB.htm" TargetMode="External"/><Relationship Id="rId540" Type="http://schemas.openxmlformats.org/officeDocument/2006/relationships/hyperlink" Target="http://faf.ornl.gov/fafweb/Extraction1.aspx" TargetMode="External"/><Relationship Id="rId51" Type="http://schemas.openxmlformats.org/officeDocument/2006/relationships/hyperlink" Target="http://www.environmentla.org/ead_sustainability.htm" TargetMode="External"/><Relationship Id="rId72" Type="http://schemas.openxmlformats.org/officeDocument/2006/relationships/hyperlink" Target="http://www.nyc.gov/html/gbee/html/plan/ll87.shtml" TargetMode="External"/><Relationship Id="rId93" Type="http://schemas.openxmlformats.org/officeDocument/2006/relationships/hyperlink" Target="http://www.sustainablecolorado.org/blog/high-performance-buildings/colorado-9th-in-most-leed-certified-buildings" TargetMode="External"/><Relationship Id="rId189" Type="http://schemas.openxmlformats.org/officeDocument/2006/relationships/hyperlink" Target="http://www.ci.minneapolis.mn.us/coordinator/rm/results-oriented-minneapolis_reports" TargetMode="External"/><Relationship Id="rId375" Type="http://schemas.openxmlformats.org/officeDocument/2006/relationships/hyperlink" Target="http://sgnarc.ncat.org/engine/index.php/resources/2005/10/03/smart-growth-in-action-georgia-quality-growth-program" TargetMode="External"/><Relationship Id="rId396" Type="http://schemas.openxmlformats.org/officeDocument/2006/relationships/hyperlink" Target="http://www.smartgrowthamerica.org/documents/cs/cs-policyanalysis.pdf" TargetMode="External"/><Relationship Id="rId561" Type="http://schemas.openxmlformats.org/officeDocument/2006/relationships/hyperlink" Target="http://www.ntdprogram.gov/ntdprogram/data.htm" TargetMode="External"/><Relationship Id="rId582" Type="http://schemas.openxmlformats.org/officeDocument/2006/relationships/hyperlink" Target="http://www.ntdprogram.gov/ntdprogram/data.htm" TargetMode="External"/><Relationship Id="rId3" Type="http://schemas.openxmlformats.org/officeDocument/2006/relationships/hyperlink" Target="http://www.phila.gov/green/PDFs/GW2012Report.pdf" TargetMode="External"/><Relationship Id="rId214" Type="http://schemas.openxmlformats.org/officeDocument/2006/relationships/hyperlink" Target="http://www.cityofsacramento.org/generalservices/sustainability/documents/API%2057.pdf" TargetMode="External"/><Relationship Id="rId235" Type="http://schemas.openxmlformats.org/officeDocument/2006/relationships/hyperlink" Target="file:///\\Home\data\Public\Projects\Community%20EE\City%20Scorecard\Communications%20and%20Roll%20Out\Infographic\CBSA-EST2012-01.xls" TargetMode="External"/><Relationship Id="rId256" Type="http://schemas.openxmlformats.org/officeDocument/2006/relationships/hyperlink" Target="http://www.greenprintdenver.org/" TargetMode="External"/><Relationship Id="rId277" Type="http://schemas.openxmlformats.org/officeDocument/2006/relationships/hyperlink" Target="http://austinenergy.com/About%20Us/Company%20Profile/dataLibrary/pdfs/EES/EES-annualEnergySavings.pdf" TargetMode="External"/><Relationship Id="rId298" Type="http://schemas.openxmlformats.org/officeDocument/2006/relationships/hyperlink" Target="http://www.nyc.gov/html/dep/pdf/strategic_plan/dep_strategy_2011_update_sustainability.pdf" TargetMode="External"/><Relationship Id="rId400" Type="http://schemas.openxmlformats.org/officeDocument/2006/relationships/hyperlink" Target="http://www.smartgrowthamerica.org/documents/cs/cs-policyanalysis.pdf" TargetMode="External"/><Relationship Id="rId421" Type="http://schemas.openxmlformats.org/officeDocument/2006/relationships/hyperlink" Target="http://www.afdc.energy.gov/cleancities/coalition/greater-washington" TargetMode="External"/><Relationship Id="rId442" Type="http://schemas.openxmlformats.org/officeDocument/2006/relationships/hyperlink" Target="http://www.cityofboston.gov/TRANSPORTATION/accessboston/" TargetMode="External"/><Relationship Id="rId463" Type="http://schemas.openxmlformats.org/officeDocument/2006/relationships/hyperlink" Target="http://htaindex.cnt.org/" TargetMode="External"/><Relationship Id="rId484" Type="http://schemas.openxmlformats.org/officeDocument/2006/relationships/hyperlink" Target="http://faf.ornl.gov/fafweb/Extraction1.aspx" TargetMode="External"/><Relationship Id="rId519" Type="http://schemas.openxmlformats.org/officeDocument/2006/relationships/hyperlink" Target="http://www.rita.dot.gov/bts/data_and_statistics/by_region/state_and_local/index.html" TargetMode="External"/><Relationship Id="rId116" Type="http://schemas.openxmlformats.org/officeDocument/2006/relationships/hyperlink" Target="http://chicago.legistar.com/LegislationDetail.aspx?ID=1319120&amp;GUID=F5A3E182-5E6C-42CA-B581-CC9C6F06DC63&amp;Options=Advanced&amp;Search" TargetMode="External"/><Relationship Id="rId137" Type="http://schemas.openxmlformats.org/officeDocument/2006/relationships/hyperlink" Target="http://hpp.smud.org/" TargetMode="External"/><Relationship Id="rId158" Type="http://schemas.openxmlformats.org/officeDocument/2006/relationships/hyperlink" Target="http://phoenix.gov/greenphoenix/sustainability/summary/index.html" TargetMode="External"/><Relationship Id="rId302" Type="http://schemas.openxmlformats.org/officeDocument/2006/relationships/hyperlink" Target="http://www.mncee.org/hes-mpls/" TargetMode="External"/><Relationship Id="rId323" Type="http://schemas.openxmlformats.org/officeDocument/2006/relationships/hyperlink" Target="http://www.sanjoseca.gov/DocumentCenter/Home/View/474" TargetMode="External"/><Relationship Id="rId344" Type="http://schemas.openxmlformats.org/officeDocument/2006/relationships/hyperlink" Target="http://www.placemakers.com/wp-content/uploads/2013/04/CodesStudy_Apr2013_WEB.htm" TargetMode="External"/><Relationship Id="rId530" Type="http://schemas.openxmlformats.org/officeDocument/2006/relationships/hyperlink" Target="http://faf.ornl.gov/fafweb/Extraction1.aspx" TargetMode="External"/><Relationship Id="rId20" Type="http://schemas.openxmlformats.org/officeDocument/2006/relationships/hyperlink" Target="http://planelpaso.org/wp-content/uploads/2012/Plan%20El%20Paso_vol2_adopted_for%20web.pdf" TargetMode="External"/><Relationship Id="rId41" Type="http://schemas.openxmlformats.org/officeDocument/2006/relationships/hyperlink" Target="http://www.sfenvironment.org/sites/default/files/fliers/files/sfe_ou_annualreport_2012sm.pdf" TargetMode="External"/><Relationship Id="rId62" Type="http://schemas.openxmlformats.org/officeDocument/2006/relationships/hyperlink" Target="http://www.cityofboston.gov/environmentalandenergy/conservation/berdo.asp" TargetMode="External"/><Relationship Id="rId83" Type="http://schemas.openxmlformats.org/officeDocument/2006/relationships/hyperlink" Target="http://clkrep.lacity.org/onlinedocs/2006/06-1963_ord_180633.pdf" TargetMode="External"/><Relationship Id="rId179" Type="http://schemas.openxmlformats.org/officeDocument/2006/relationships/hyperlink" Target="http://www.environmentla.org/ead_sustainability.htm" TargetMode="External"/><Relationship Id="rId365" Type="http://schemas.openxmlformats.org/officeDocument/2006/relationships/hyperlink" Target="http://development.columbus.gov/planning/parking.aspx" TargetMode="External"/><Relationship Id="rId386" Type="http://schemas.openxmlformats.org/officeDocument/2006/relationships/hyperlink" Target="http://www4.eere.energy.gov/challenge/partners/better-buildings/pittsburgh" TargetMode="External"/><Relationship Id="rId551" Type="http://schemas.openxmlformats.org/officeDocument/2006/relationships/hyperlink" Target="http://www.ntdprogram.gov/ntdprogram/data.htm" TargetMode="External"/><Relationship Id="rId572" Type="http://schemas.openxmlformats.org/officeDocument/2006/relationships/hyperlink" Target="http://www.ntdprogram.gov/ntdprogram/data.htm" TargetMode="External"/><Relationship Id="rId190" Type="http://schemas.openxmlformats.org/officeDocument/2006/relationships/hyperlink" Target="http://www.phila.gov/green/index.html" TargetMode="External"/><Relationship Id="rId204" Type="http://schemas.openxmlformats.org/officeDocument/2006/relationships/hyperlink" Target="http://www.phila.gov/green/greenworks/pdf/Greenworks_OnlinePDF_FINAL.pdf" TargetMode="External"/><Relationship Id="rId225" Type="http://schemas.openxmlformats.org/officeDocument/2006/relationships/hyperlink" Target="http://www.miami21.org/PDFs/FinalDocumentsMay2010/Article3-GeneraltoZones-AsAdopted-May2010.pdf" TargetMode="External"/><Relationship Id="rId246" Type="http://schemas.openxmlformats.org/officeDocument/2006/relationships/hyperlink" Target="http://www.buildingrating.org/" TargetMode="External"/><Relationship Id="rId267" Type="http://schemas.openxmlformats.org/officeDocument/2006/relationships/hyperlink" Target="http://onesanfrancisco.org/wp-content/uploads/Proposed-Capital-Plan-FY14-23.pdf" TargetMode="External"/><Relationship Id="rId288" Type="http://schemas.openxmlformats.org/officeDocument/2006/relationships/hyperlink" Target="http://www.sanantonio.gov/Sustainability/BuildingsAndCommunities/BetterBuildings.aspx" TargetMode="External"/><Relationship Id="rId411" Type="http://schemas.openxmlformats.org/officeDocument/2006/relationships/hyperlink" Target="http://www.afdc.energy.gov/cleancities/coalition/dallas-fort-worth" TargetMode="External"/><Relationship Id="rId432" Type="http://schemas.openxmlformats.org/officeDocument/2006/relationships/hyperlink" Target="http://www.minneapolismn.gov/www/groups/public/@regservices/documents/webcontent/convert_283965.pdf" TargetMode="External"/><Relationship Id="rId453" Type="http://schemas.openxmlformats.org/officeDocument/2006/relationships/hyperlink" Target="http://htaindex.cnt.org/" TargetMode="External"/><Relationship Id="rId474" Type="http://schemas.openxmlformats.org/officeDocument/2006/relationships/hyperlink" Target="http://www.nyc.gov/html/dot/html/motorist/carpool.shtml" TargetMode="External"/><Relationship Id="rId509" Type="http://schemas.openxmlformats.org/officeDocument/2006/relationships/hyperlink" Target="http://www.rita.dot.gov/bts/data_and_statistics/by_region/state_and_local/index.html" TargetMode="External"/><Relationship Id="rId106" Type="http://schemas.openxmlformats.org/officeDocument/2006/relationships/hyperlink" Target="http://www.buildingrating.org/ammap" TargetMode="External"/><Relationship Id="rId127" Type="http://schemas.openxmlformats.org/officeDocument/2006/relationships/hyperlink" Target="http://www.energystar.gov/index.cfm?fuseaction=hpwes_profiles.showFindaProgram" TargetMode="External"/><Relationship Id="rId313" Type="http://schemas.openxmlformats.org/officeDocument/2006/relationships/hyperlink" Target="https://www.dropbox.com/s/us46gulf7so0ksg/RM%20Clayton%20Project%20Profile%20%206%2025%2012.pdf" TargetMode="External"/><Relationship Id="rId495" Type="http://schemas.openxmlformats.org/officeDocument/2006/relationships/hyperlink" Target="http://www.rita.dot.gov/bts/data_and_statistics/by_region/state_and_local/index.html" TargetMode="External"/><Relationship Id="rId10" Type="http://schemas.openxmlformats.org/officeDocument/2006/relationships/hyperlink" Target="http://issuu.com/austinclimateprotection/docs/city_of_austin_2010-2011_climate_action_report" TargetMode="External"/><Relationship Id="rId31" Type="http://schemas.openxmlformats.org/officeDocument/2006/relationships/hyperlink" Target="http://columbus.gov/GetGreen/content.aspx?id=41124" TargetMode="External"/><Relationship Id="rId52" Type="http://schemas.openxmlformats.org/officeDocument/2006/relationships/hyperlink" Target="http://www.power2charlotte.com/welcome-to-power2/energy-sustainability-manager.aspx" TargetMode="External"/><Relationship Id="rId73" Type="http://schemas.openxmlformats.org/officeDocument/2006/relationships/hyperlink" Target="http://www.phila.gov/green/index.html" TargetMode="External"/><Relationship Id="rId94" Type="http://schemas.openxmlformats.org/officeDocument/2006/relationships/hyperlink" Target="http://phoenix.gov/pdd/services/permitservices/green_building.html" TargetMode="External"/><Relationship Id="rId148" Type="http://schemas.openxmlformats.org/officeDocument/2006/relationships/hyperlink" Target="http://columbus.gov/uploadedFiles/Area_of_Interest/Get_Green/Programs/Report05-09.pdf" TargetMode="External"/><Relationship Id="rId169" Type="http://schemas.openxmlformats.org/officeDocument/2006/relationships/hyperlink" Target="http://www.austintexas.gov/page/reporting-integrity-protocols" TargetMode="External"/><Relationship Id="rId334" Type="http://schemas.openxmlformats.org/officeDocument/2006/relationships/hyperlink" Target="https://www.jea.com/Manage_My_Account/Ways_to_Save/Efficiency_Evaluations/LawnSmart.aspx" TargetMode="External"/><Relationship Id="rId355" Type="http://schemas.openxmlformats.org/officeDocument/2006/relationships/hyperlink" Target="http://shelbycountytn.gov/DocumentCenter/View/11629" TargetMode="External"/><Relationship Id="rId376" Type="http://schemas.openxmlformats.org/officeDocument/2006/relationships/hyperlink" Target="http://www.sa2020.org/wp-content/themes/sa2020/pdf/SA2020_Final_Report.pdf" TargetMode="External"/><Relationship Id="rId397" Type="http://schemas.openxmlformats.org/officeDocument/2006/relationships/hyperlink" Target="http://www.smartgrowthamerica.org/documents/cs/cs-policyanalysis.pdf" TargetMode="External"/><Relationship Id="rId520" Type="http://schemas.openxmlformats.org/officeDocument/2006/relationships/hyperlink" Target="http://faf.ornl.gov/fafweb/Extraction1.aspx" TargetMode="External"/><Relationship Id="rId541" Type="http://schemas.openxmlformats.org/officeDocument/2006/relationships/hyperlink" Target="http://www.rita.dot.gov/bts/data_and_statistics/by_region/state_and_local/index.html" TargetMode="External"/><Relationship Id="rId562" Type="http://schemas.openxmlformats.org/officeDocument/2006/relationships/hyperlink" Target="http://www.ntdprogram.gov/ntdprogram/data.htm" TargetMode="External"/><Relationship Id="rId583" Type="http://schemas.openxmlformats.org/officeDocument/2006/relationships/hyperlink" Target="http://www.recaonline.com/docs/arc/arc2006/CDS_Subchapter_E_Adopted_Ordinance.pdf" TargetMode="External"/><Relationship Id="rId4" Type="http://schemas.openxmlformats.org/officeDocument/2006/relationships/hyperlink" Target="http://www.portlandoregon.gov/bps/article/268612" TargetMode="External"/><Relationship Id="rId180" Type="http://schemas.openxmlformats.org/officeDocument/2006/relationships/hyperlink" Target="http://www.coj.net/departments/environmental-and-compliance/office-of-sustainability-initiatives.aspx" TargetMode="External"/><Relationship Id="rId215" Type="http://schemas.openxmlformats.org/officeDocument/2006/relationships/hyperlink" Target="http://www.sandiego.gov/environmental-services/recycling/ep3/howto/responsibilities.shtml" TargetMode="External"/><Relationship Id="rId236" Type="http://schemas.openxmlformats.org/officeDocument/2006/relationships/hyperlink" Target="http://www.sfenvironment.org/energy/energy-efficiency/commercial-and-multifamily-properties/existing-commercial-buildings-energy-performance-ordinance" TargetMode="External"/><Relationship Id="rId257" Type="http://schemas.openxmlformats.org/officeDocument/2006/relationships/hyperlink" Target="http://www.baltimoresustainability.org/uploads/files/Sustainability_Plan.pdf" TargetMode="External"/><Relationship Id="rId278" Type="http://schemas.openxmlformats.org/officeDocument/2006/relationships/hyperlink" Target="http://www.energyright.com/pdf/highlights_2012.pdf" TargetMode="External"/><Relationship Id="rId401" Type="http://schemas.openxmlformats.org/officeDocument/2006/relationships/hyperlink" Target="http://www.smartgrowthamerica.org/documents/cs/cs-policyanalysis.pdf" TargetMode="External"/><Relationship Id="rId422" Type="http://schemas.openxmlformats.org/officeDocument/2006/relationships/hyperlink" Target="http://www.afdc.energy.gov/laws/laws/DC" TargetMode="External"/><Relationship Id="rId443" Type="http://schemas.openxmlformats.org/officeDocument/2006/relationships/hyperlink" Target="http://htaindex.cnt.org/" TargetMode="External"/><Relationship Id="rId464" Type="http://schemas.openxmlformats.org/officeDocument/2006/relationships/hyperlink" Target="http://htaindex.cnt.org/" TargetMode="External"/><Relationship Id="rId303" Type="http://schemas.openxmlformats.org/officeDocument/2006/relationships/hyperlink" Target="http://www.metrocouncil.org/Wastewater-Water/Publications-And-Resources/MCES-Annual-Report.aspx" TargetMode="External"/><Relationship Id="rId485" Type="http://schemas.openxmlformats.org/officeDocument/2006/relationships/hyperlink" Target="http://www.rita.dot.gov/bts/data_and_statistics/by_region/state_and_local/index.html" TargetMode="External"/><Relationship Id="rId42" Type="http://schemas.openxmlformats.org/officeDocument/2006/relationships/hyperlink" Target="http://www.sfenvironment.org/sites/default/files/fliers/files/sfe_ou_annualreport_2012sm.pdf" TargetMode="External"/><Relationship Id="rId84" Type="http://schemas.openxmlformats.org/officeDocument/2006/relationships/hyperlink" Target="http://www.charmeck.org/city/charlotte/epm/Services/Bids/Documents/Sustainable%20Facilities%20Policy.pdf" TargetMode="External"/><Relationship Id="rId138" Type="http://schemas.openxmlformats.org/officeDocument/2006/relationships/hyperlink" Target="https://energycenter.org/upgrade/" TargetMode="External"/><Relationship Id="rId345" Type="http://schemas.openxmlformats.org/officeDocument/2006/relationships/hyperlink" Target="http://www.placemakers.com/wp-content/uploads/2013/04/CodesStudy_Apr2013_WEB.htm" TargetMode="External"/><Relationship Id="rId387" Type="http://schemas.openxmlformats.org/officeDocument/2006/relationships/hyperlink" Target="http://www4.eere.energy.gov/challenge/partners/better-buildings/fort-worth" TargetMode="External"/><Relationship Id="rId510" Type="http://schemas.openxmlformats.org/officeDocument/2006/relationships/hyperlink" Target="http://faf.ornl.gov/fafweb/Extraction1.aspx" TargetMode="External"/><Relationship Id="rId552" Type="http://schemas.openxmlformats.org/officeDocument/2006/relationships/hyperlink" Target="http://www.ntdprogram.gov/ntdprogram/data.htm" TargetMode="External"/><Relationship Id="rId191" Type="http://schemas.openxmlformats.org/officeDocument/2006/relationships/hyperlink" Target="http://www.sandiego.gov/environmental-services/pdf/sustainable/090600energystrategy.pdf" TargetMode="External"/><Relationship Id="rId205" Type="http://schemas.openxmlformats.org/officeDocument/2006/relationships/hyperlink" Target="http://www.cityofchicago.org/content/dam/city/depts/zlup/Sustainable_Development/Publications/GreenMatrix2011DHED.pdf" TargetMode="External"/><Relationship Id="rId247" Type="http://schemas.openxmlformats.org/officeDocument/2006/relationships/hyperlink" Target="http://www.energystar.gov/index.cfm?c=evaluate_performance.bus_portfoliomanager" TargetMode="External"/><Relationship Id="rId412" Type="http://schemas.openxmlformats.org/officeDocument/2006/relationships/hyperlink" Target="http://www.afdc.energy.gov/cleancities/coalition/houston-galveston" TargetMode="External"/><Relationship Id="rId107" Type="http://schemas.openxmlformats.org/officeDocument/2006/relationships/hyperlink" Target="http://www.buildingrating.org/content/us-policy-briefs" TargetMode="External"/><Relationship Id="rId289" Type="http://schemas.openxmlformats.org/officeDocument/2006/relationships/hyperlink" Target="http://www.greenriverside.com/userfiles/Green_Action_Plan-2012.pdf" TargetMode="External"/><Relationship Id="rId454" Type="http://schemas.openxmlformats.org/officeDocument/2006/relationships/hyperlink" Target="http://htaindex.cnt.org/" TargetMode="External"/><Relationship Id="rId496" Type="http://schemas.openxmlformats.org/officeDocument/2006/relationships/hyperlink" Target="http://faf.ornl.gov/fafweb/Extraction1.aspx" TargetMode="External"/><Relationship Id="rId11" Type="http://schemas.openxmlformats.org/officeDocument/2006/relationships/hyperlink" Target="shttp://www.dooconsulting.net/pdf/ref_bar/about/051509_BCS-001SustainabilityReport.pdf" TargetMode="External"/><Relationship Id="rId53" Type="http://schemas.openxmlformats.org/officeDocument/2006/relationships/hyperlink" Target="http://www.coj.net/departments/environmental-and-compliance/office-of-sustainability-initiatives.aspx" TargetMode="External"/><Relationship Id="rId149" Type="http://schemas.openxmlformats.org/officeDocument/2006/relationships/hyperlink" Target="http://greendallas.net/pdfs/GHG_EmissionsReport_Final2012.pdf" TargetMode="External"/><Relationship Id="rId314" Type="http://schemas.openxmlformats.org/officeDocument/2006/relationships/hyperlink" Target="http://www.saws.org/conservation/" TargetMode="External"/><Relationship Id="rId356" Type="http://schemas.openxmlformats.org/officeDocument/2006/relationships/hyperlink" Target="http://www.invisiontampa.com/" TargetMode="External"/><Relationship Id="rId398" Type="http://schemas.openxmlformats.org/officeDocument/2006/relationships/hyperlink" Target="http://www.smartgrowthamerica.org/documents/cs/cs-policyanalysis.pdf" TargetMode="External"/><Relationship Id="rId521" Type="http://schemas.openxmlformats.org/officeDocument/2006/relationships/hyperlink" Target="http://www.rita.dot.gov/bts/data_and_statistics/by_region/state_and_local/index.html" TargetMode="External"/><Relationship Id="rId563" Type="http://schemas.openxmlformats.org/officeDocument/2006/relationships/hyperlink" Target="http://www.ntdprogram.gov/ntdprogram/data.htm" TargetMode="External"/><Relationship Id="rId95" Type="http://schemas.openxmlformats.org/officeDocument/2006/relationships/hyperlink" Target="http://www.dsireusa.org/incentives/incentive.cfm?Incentive_Code=TX31R&amp;re=0&amp;ee=0" TargetMode="External"/><Relationship Id="rId160" Type="http://schemas.openxmlformats.org/officeDocument/2006/relationships/hyperlink" Target="http://www.sfenvironment.org/climate-change/city-government-climate-action" TargetMode="External"/><Relationship Id="rId216" Type="http://schemas.openxmlformats.org/officeDocument/2006/relationships/hyperlink" Target="http://columbus.gov/GetGreen/content.aspx?id=41124" TargetMode="External"/><Relationship Id="rId423" Type="http://schemas.openxmlformats.org/officeDocument/2006/relationships/hyperlink" Target="http://www.afdc.energy.gov/laws/local/" TargetMode="External"/><Relationship Id="rId258" Type="http://schemas.openxmlformats.org/officeDocument/2006/relationships/hyperlink" Target="http://www.greenhoustontx.gov/energy.html" TargetMode="External"/><Relationship Id="rId465" Type="http://schemas.openxmlformats.org/officeDocument/2006/relationships/hyperlink" Target="http://htaindex.cnt.org/" TargetMode="External"/><Relationship Id="rId22" Type="http://schemas.openxmlformats.org/officeDocument/2006/relationships/hyperlink" Target="http://pittsburghclimate.org/wp-content/uploads/2011/12/Pittsburgh-Climate-Action-Plan-Version-2-FINAL-Web.pdf" TargetMode="External"/><Relationship Id="rId64" Type="http://schemas.openxmlformats.org/officeDocument/2006/relationships/hyperlink" Target="http://www.cityofchicago.org/content/dam/city/depts/zlup/Sustainable_Development/Publications/GreenMatrix2011DHED.pdf" TargetMode="External"/><Relationship Id="rId118" Type="http://schemas.openxmlformats.org/officeDocument/2006/relationships/hyperlink" Target="http://www.buildingrating.org/ammap" TargetMode="External"/><Relationship Id="rId325" Type="http://schemas.openxmlformats.org/officeDocument/2006/relationships/hyperlink" Target="http://www.epwu.org/financial/reports/2011/annual_report.pdf" TargetMode="External"/><Relationship Id="rId367" Type="http://schemas.openxmlformats.org/officeDocument/2006/relationships/hyperlink" Target="http://ecode360.com/13715802" TargetMode="External"/><Relationship Id="rId532" Type="http://schemas.openxmlformats.org/officeDocument/2006/relationships/hyperlink" Target="http://faf.ornl.gov/fafweb/Extraction1.aspx" TargetMode="External"/><Relationship Id="rId574" Type="http://schemas.openxmlformats.org/officeDocument/2006/relationships/hyperlink" Target="http://www.ntdprogram.gov/ntdprogram/data.htm" TargetMode="External"/><Relationship Id="rId171" Type="http://schemas.openxmlformats.org/officeDocument/2006/relationships/hyperlink" Target="http://sustainable.dc.gov/sites/default/files/dc/sites/sustainable/page_content/attachments/SDC%20Final%20Plan_0.pdf" TargetMode="External"/><Relationship Id="rId227" Type="http://schemas.openxmlformats.org/officeDocument/2006/relationships/hyperlink" Target="http://clkrep.lacity.org/onlinedocs/2006/06-1963_ord_180633.pdf" TargetMode="External"/><Relationship Id="rId269" Type="http://schemas.openxmlformats.org/officeDocument/2006/relationships/hyperlink" Target="http://www.cityofchicago.org/content/dam/city/depts/cdot/Construction%20Guidelines/SUIGPpresentation.pdf" TargetMode="External"/><Relationship Id="rId434" Type="http://schemas.openxmlformats.org/officeDocument/2006/relationships/hyperlink" Target="http://www.atri-online.org/research/idling/ATRI_Idling_Compendium.pdf" TargetMode="External"/><Relationship Id="rId476" Type="http://schemas.openxmlformats.org/officeDocument/2006/relationships/hyperlink" Target="http://www.nctr.usf.edu/clearinghouse/stateincentives.htm" TargetMode="External"/><Relationship Id="rId33" Type="http://schemas.openxmlformats.org/officeDocument/2006/relationships/hyperlink" Target="http://www.minneapolismn.gov/sustainability/reports/sustainability_minneapolisgreenprint" TargetMode="External"/><Relationship Id="rId129" Type="http://schemas.openxmlformats.org/officeDocument/2006/relationships/hyperlink" Target="http://www.energystar.gov/index.cfm?fuseaction=hpwes_profiles.showFindaProgram" TargetMode="External"/><Relationship Id="rId280" Type="http://schemas.openxmlformats.org/officeDocument/2006/relationships/hyperlink" Target="http://www.atmosenergy.com/home/efficiency/CEE_Report_march_2013.pdf" TargetMode="External"/><Relationship Id="rId336" Type="http://schemas.openxmlformats.org/officeDocument/2006/relationships/hyperlink" Target="http://www.bostonredevelopmentauthority.org/pdf/ZoningCode/Article27D.pdf" TargetMode="External"/><Relationship Id="rId501" Type="http://schemas.openxmlformats.org/officeDocument/2006/relationships/hyperlink" Target="http://www.rita.dot.gov/bts/data_and_statistics/by_region/state_and_local/index.html" TargetMode="External"/><Relationship Id="rId543" Type="http://schemas.openxmlformats.org/officeDocument/2006/relationships/hyperlink" Target="http://www.rita.dot.gov/bts/data_and_statistics/by_region/state_and_local/index.html" TargetMode="External"/><Relationship Id="rId75" Type="http://schemas.openxmlformats.org/officeDocument/2006/relationships/hyperlink" Target="http://www.dsireusa.org/incentives/index.cfm?re=0&amp;ee=0&amp;spv=0&amp;st=0&amp;srp=1&amp;state=GA" TargetMode="External"/><Relationship Id="rId140" Type="http://schemas.openxmlformats.org/officeDocument/2006/relationships/hyperlink" Target="http://thecbpca.org/" TargetMode="External"/><Relationship Id="rId182" Type="http://schemas.openxmlformats.org/officeDocument/2006/relationships/hyperlink" Target="http://fortworthtexas.gov/sustainability/" TargetMode="External"/><Relationship Id="rId378" Type="http://schemas.openxmlformats.org/officeDocument/2006/relationships/hyperlink" Target="http://www4.eere.energy.gov/challenge/partners/better-buildings/city-of-boston" TargetMode="External"/><Relationship Id="rId403" Type="http://schemas.openxmlformats.org/officeDocument/2006/relationships/hyperlink" Target="http://www.smartgrowthamerica.org/documents/cs/cs-policyanalysis.pdf" TargetMode="External"/><Relationship Id="rId6" Type="http://schemas.openxmlformats.org/officeDocument/2006/relationships/hyperlink" Target="http://www.sa2020.org/wp-content/themes/sa2020/pdf/SA2020_Final_Report.pdf" TargetMode="External"/><Relationship Id="rId238" Type="http://schemas.openxmlformats.org/officeDocument/2006/relationships/hyperlink" Target="http://www.seattle.gov/environment/documents/EBR-muni-buildings.pdf" TargetMode="External"/><Relationship Id="rId445" Type="http://schemas.openxmlformats.org/officeDocument/2006/relationships/hyperlink" Target="http://htaindex.cnt.org/" TargetMode="External"/><Relationship Id="rId487" Type="http://schemas.openxmlformats.org/officeDocument/2006/relationships/hyperlink" Target="http://www.rita.dot.gov/bts/data_and_statistics/by_region/state_and_local/index.html" TargetMode="External"/><Relationship Id="rId291" Type="http://schemas.openxmlformats.org/officeDocument/2006/relationships/hyperlink" Target="http://www.bwsc.org/COMMUNITY/Conservation/kits.asp" TargetMode="External"/><Relationship Id="rId305" Type="http://schemas.openxmlformats.org/officeDocument/2006/relationships/hyperlink" Target="http://www.phila.gov/green/PDFs/GW2012Report.pdf" TargetMode="External"/><Relationship Id="rId347" Type="http://schemas.openxmlformats.org/officeDocument/2006/relationships/hyperlink" Target="http://www.sanantonio.gov/dsd/udc.asp?res=1280&amp;ver=true" TargetMode="External"/><Relationship Id="rId512" Type="http://schemas.openxmlformats.org/officeDocument/2006/relationships/hyperlink" Target="http://faf.ornl.gov/fafweb/Extraction1.aspx" TargetMode="External"/><Relationship Id="rId44" Type="http://schemas.openxmlformats.org/officeDocument/2006/relationships/hyperlink" Target="http://aceee.org/research-report/e123" TargetMode="External"/><Relationship Id="rId86" Type="http://schemas.openxmlformats.org/officeDocument/2006/relationships/hyperlink" Target="http://www.portlandoregon.gov/auditor/34835?a=250416" TargetMode="External"/><Relationship Id="rId151" Type="http://schemas.openxmlformats.org/officeDocument/2006/relationships/hyperlink" Target="http://www.elpasotexas.gov/sustainability/reports.asp" TargetMode="External"/><Relationship Id="rId389" Type="http://schemas.openxmlformats.org/officeDocument/2006/relationships/hyperlink" Target="http://www.bostoncompletestreets.org/" TargetMode="External"/><Relationship Id="rId554" Type="http://schemas.openxmlformats.org/officeDocument/2006/relationships/hyperlink" Target="http://www.ntdprogram.gov/ntdprogram/data.htm" TargetMode="External"/><Relationship Id="rId193" Type="http://schemas.openxmlformats.org/officeDocument/2006/relationships/hyperlink" Target="http://www.cityofboston.gov/Images_Documents/Clim_Action_Exec_Or_tcm3-3890.pdf" TargetMode="External"/><Relationship Id="rId207" Type="http://schemas.openxmlformats.org/officeDocument/2006/relationships/hyperlink" Target="http://www.greenprintdenver.org/wp-content/uploads/2013/03/13-XO-123-Sustainability-Cabinet-Ready-Copy.pdf" TargetMode="External"/><Relationship Id="rId249" Type="http://schemas.openxmlformats.org/officeDocument/2006/relationships/hyperlink" Target="http://www.portlandonline.com/auditor/index.cfm?&amp;a=250416&amp;c=34835" TargetMode="External"/><Relationship Id="rId414" Type="http://schemas.openxmlformats.org/officeDocument/2006/relationships/hyperlink" Target="http://www.afdc.energy.gov/cleancities/coalition/los-angeles" TargetMode="External"/><Relationship Id="rId456" Type="http://schemas.openxmlformats.org/officeDocument/2006/relationships/hyperlink" Target="http://htaindex.cnt.org/" TargetMode="External"/><Relationship Id="rId498" Type="http://schemas.openxmlformats.org/officeDocument/2006/relationships/hyperlink" Target="http://faf.ornl.gov/fafweb/Extraction1.aspx" TargetMode="External"/><Relationship Id="rId13" Type="http://schemas.openxmlformats.org/officeDocument/2006/relationships/hyperlink" Target="http://www.cityofchicago.org/content/dam/city/progs/env/SustainableChicago2015.pdf" TargetMode="External"/><Relationship Id="rId109" Type="http://schemas.openxmlformats.org/officeDocument/2006/relationships/hyperlink" Target="http://www.buildingrating.org/ammap" TargetMode="External"/><Relationship Id="rId260" Type="http://schemas.openxmlformats.org/officeDocument/2006/relationships/hyperlink" Target="http://columbus.gov/GetGreen/content.aspx?id=41124" TargetMode="External"/><Relationship Id="rId316" Type="http://schemas.openxmlformats.org/officeDocument/2006/relationships/hyperlink" Target="http://www.cityofsacramento.org/utilities/water/water-meters.cfm" TargetMode="External"/><Relationship Id="rId523" Type="http://schemas.openxmlformats.org/officeDocument/2006/relationships/hyperlink" Target="http://www.rita.dot.gov/bts/data_and_statistics/by_region/state_and_local/index.html" TargetMode="External"/><Relationship Id="rId55" Type="http://schemas.openxmlformats.org/officeDocument/2006/relationships/hyperlink" Target="https://my.austinenergy.com/wps/portal/aegb/aegb/home/!ut/p/c5/04_SB8K8xLLM9MSSzPy8xBz9CP0os3gLAwMDZydDRwP3EG8XA09nywBD55AwYyM_Y6B8pFm8AQ7gaEBAdzjIPjwqDCHyeMz388jPTdUvyI0wyDJxVAQAElUVkA!!/dl3/d3/L2dBISEvZ0FBIS9nQSEh/" TargetMode="External"/><Relationship Id="rId97" Type="http://schemas.openxmlformats.org/officeDocument/2006/relationships/hyperlink" Target="http://home.elpasotexas.gov/city-development/documents/incentives/Green%20Building%20Grant%20Program%20Guidelines.pdf" TargetMode="External"/><Relationship Id="rId120" Type="http://schemas.openxmlformats.org/officeDocument/2006/relationships/hyperlink" Target="http://www.buildingrating.org/ammap" TargetMode="External"/><Relationship Id="rId358" Type="http://schemas.openxmlformats.org/officeDocument/2006/relationships/hyperlink" Target="http://metro.kingcounty.gov/up/projects/right-size-parking/pdf/furman-parking-requirements-policy-brief_3-21-12-final.pdf" TargetMode="External"/><Relationship Id="rId565" Type="http://schemas.openxmlformats.org/officeDocument/2006/relationships/hyperlink" Target="http://www.ntdprogram.gov/ntdprogram/data.htm" TargetMode="External"/><Relationship Id="rId162" Type="http://schemas.openxmlformats.org/officeDocument/2006/relationships/hyperlink" Target="http://www.tampagov.net/dept_green_tampa/files/2011_Information_Resources/Strategies_and_Reports/EECP_Final_Document_8_30_11.pdf" TargetMode="External"/><Relationship Id="rId218" Type="http://schemas.openxmlformats.org/officeDocument/2006/relationships/hyperlink" Target="http://www.clerkoftheboard.co.riverside.ca.us/agendas/2009/02_03_09/03.25.pdf" TargetMode="External"/><Relationship Id="rId425" Type="http://schemas.openxmlformats.org/officeDocument/2006/relationships/hyperlink" Target="http://www.afdc.energy.gov/laws/local/" TargetMode="External"/><Relationship Id="rId467" Type="http://schemas.openxmlformats.org/officeDocument/2006/relationships/hyperlink" Target="http://htaindex.cnt.org/" TargetMode="External"/><Relationship Id="rId271" Type="http://schemas.openxmlformats.org/officeDocument/2006/relationships/hyperlink" Target="http://www.sacgp.org/documents/Phase-1-CAP_2-11-10.pdf" TargetMode="External"/><Relationship Id="rId24" Type="http://schemas.openxmlformats.org/officeDocument/2006/relationships/hyperlink" Target="http://www.miamigov.com/msi/pages/Climate%20Action/MiPlan%20Final%20062608.pdf" TargetMode="External"/><Relationship Id="rId66" Type="http://schemas.openxmlformats.org/officeDocument/2006/relationships/hyperlink" Target="http://www.dsireusa.org/incentives/incentive.cfm?Incentive_Code=TX31R&amp;re=0&amp;ee=0" TargetMode="External"/><Relationship Id="rId131" Type="http://schemas.openxmlformats.org/officeDocument/2006/relationships/hyperlink" Target="http://energytrust.org/residential/evaluate-your-home/home-performance-energy-star/" TargetMode="External"/><Relationship Id="rId327" Type="http://schemas.openxmlformats.org/officeDocument/2006/relationships/hyperlink" Target="https://www.ladwp.com/ladwp/faces/ladwp/aboutus/a-water/a-w-conservation/a-w-c-rebatesandfreeitems?_adf.ctrl-state=os11pz9c5_38&amp;_afrLoop=677968216853000" TargetMode="External"/><Relationship Id="rId369" Type="http://schemas.openxmlformats.org/officeDocument/2006/relationships/hyperlink" Target="http://www.portlandoregon.gov/bps/article/429864" TargetMode="External"/><Relationship Id="rId534" Type="http://schemas.openxmlformats.org/officeDocument/2006/relationships/hyperlink" Target="http://faf.ornl.gov/fafweb/Extraction1.aspx" TargetMode="External"/><Relationship Id="rId576" Type="http://schemas.openxmlformats.org/officeDocument/2006/relationships/hyperlink" Target="http://www.ntdprogram.gov/ntdprogram/data.htm" TargetMode="External"/><Relationship Id="rId173" Type="http://schemas.openxmlformats.org/officeDocument/2006/relationships/hyperlink" Target="http://www.sanjoseca.gov/Index.aspx?NID=1417" TargetMode="External"/><Relationship Id="rId229" Type="http://schemas.openxmlformats.org/officeDocument/2006/relationships/hyperlink" Target="http://www.tampagov.net/dept_green_tampa/files/2011_Information_Resources/Codes_and_Ordinances/Chapter_17.5_Ordinance_Section_17.5-201.205.pdf" TargetMode="External"/><Relationship Id="rId380" Type="http://schemas.openxmlformats.org/officeDocument/2006/relationships/hyperlink" Target="http://www4.eere.energy.gov/challenge/partners/better-buildings/district-of-columbia" TargetMode="External"/><Relationship Id="rId436" Type="http://schemas.openxmlformats.org/officeDocument/2006/relationships/hyperlink" Target="http://www.cityofchicago.org/content/dam/city/depts/doe/general/ESB_PDFs/StandingLimitOrdinanceAsPassed.pdf" TargetMode="External"/><Relationship Id="rId240" Type="http://schemas.openxmlformats.org/officeDocument/2006/relationships/hyperlink" Target="http://www.buildingrating.org/" TargetMode="External"/><Relationship Id="rId478" Type="http://schemas.openxmlformats.org/officeDocument/2006/relationships/hyperlink" Target="http://www.flexworks.org/fitc/" TargetMode="External"/><Relationship Id="rId35" Type="http://schemas.openxmlformats.org/officeDocument/2006/relationships/hyperlink" Target="http://www.phila.gov/green/index.html" TargetMode="External"/><Relationship Id="rId77" Type="http://schemas.openxmlformats.org/officeDocument/2006/relationships/hyperlink" Target="http://www.sfdbi.org/index.aspx?page=268" TargetMode="External"/><Relationship Id="rId100" Type="http://schemas.openxmlformats.org/officeDocument/2006/relationships/hyperlink" Target="http://www.buildingrating.org/content/us-policy-briefs" TargetMode="External"/><Relationship Id="rId282" Type="http://schemas.openxmlformats.org/officeDocument/2006/relationships/hyperlink" Target="http://documents.dps.ny.gov/public/Common/SearchResults.aspx?MC=0&amp;DFF=1/15/2013&amp;CI=0&amp;FC=4172" TargetMode="External"/><Relationship Id="rId338" Type="http://schemas.openxmlformats.org/officeDocument/2006/relationships/hyperlink" Target="http://www.nyc.gov/html/dcp/html/zone/zh_special_purp_mn.shtml" TargetMode="External"/><Relationship Id="rId503" Type="http://schemas.openxmlformats.org/officeDocument/2006/relationships/hyperlink" Target="http://www.rita.dot.gov/bts/data_and_statistics/by_region/state_and_local/index.html" TargetMode="External"/><Relationship Id="rId545" Type="http://schemas.openxmlformats.org/officeDocument/2006/relationships/hyperlink" Target="http://www.rita.dot.gov/bts/data_and_statistics/by_region/state_and_local/index.html" TargetMode="External"/><Relationship Id="rId8" Type="http://schemas.openxmlformats.org/officeDocument/2006/relationships/hyperlink" Target="http://www.seattle.gov/DPD/cms/groups/pan/@pan/@plan/@proj/documents/web_informational/dpdp022812.pdf" TargetMode="External"/><Relationship Id="rId142" Type="http://schemas.openxmlformats.org/officeDocument/2006/relationships/hyperlink" Target="http://www.keystonehelp.com/index.php" TargetMode="External"/><Relationship Id="rId184" Type="http://schemas.openxmlformats.org/officeDocument/2006/relationships/hyperlink" Target="http://www.austintexas.gov/sites/default/files/files/Sustainability/Climate/COA-_GHG.pdf" TargetMode="External"/><Relationship Id="rId391" Type="http://schemas.openxmlformats.org/officeDocument/2006/relationships/hyperlink" Target="http://www.portlandoregon.gov/transportation/59969" TargetMode="External"/><Relationship Id="rId405" Type="http://schemas.openxmlformats.org/officeDocument/2006/relationships/hyperlink" Target="http://www.afdc.energy.gov/cleancities/coalition/atlanta" TargetMode="External"/><Relationship Id="rId447" Type="http://schemas.openxmlformats.org/officeDocument/2006/relationships/hyperlink" Target="http://www.seattle.gov/transportation/transitmasterplan.htm" TargetMode="External"/><Relationship Id="rId251" Type="http://schemas.openxmlformats.org/officeDocument/2006/relationships/hyperlink" Target="http://www.phila.gov/green/PDFs/GW2012Report.pdf" TargetMode="External"/><Relationship Id="rId489" Type="http://schemas.openxmlformats.org/officeDocument/2006/relationships/hyperlink" Target="http://www.rita.dot.gov/bts/data_and_statistics/by_region/state_and_local/index.html" TargetMode="External"/><Relationship Id="rId46" Type="http://schemas.openxmlformats.org/officeDocument/2006/relationships/hyperlink" Target="http://cleanergreener.highrockhosting2.com/uploads/files/AnnualReport2011web.pdf" TargetMode="External"/><Relationship Id="rId293" Type="http://schemas.openxmlformats.org/officeDocument/2006/relationships/hyperlink" Target="http://www.portlandoregon.gov/water/article/270585" TargetMode="External"/><Relationship Id="rId307" Type="http://schemas.openxmlformats.org/officeDocument/2006/relationships/hyperlink" Target="http://www.metrowastewater.com/know/BenReuse/Pages/whatwedo.aspx" TargetMode="External"/><Relationship Id="rId349" Type="http://schemas.openxmlformats.org/officeDocument/2006/relationships/hyperlink" Target="http://google.sannet.gov/search?site=scs_municode_ch13&amp;partialfields=&amp;requiredfields=PATH%3Amunicode&amp;client=scs_ocd&amp;filter=0&amp;config=muni_ch13.js&amp;layout_type=title&amp;getfields=DOC_NUM.TITLE&amp;proxystylesheet=scs_ocd&amp;output=xml_no_dtd&amp;proxyreload=1&amp;sort=date:A:" TargetMode="External"/><Relationship Id="rId514" Type="http://schemas.openxmlformats.org/officeDocument/2006/relationships/hyperlink" Target="http://faf.ornl.gov/fafweb/Extraction1.aspx" TargetMode="External"/><Relationship Id="rId556" Type="http://schemas.openxmlformats.org/officeDocument/2006/relationships/hyperlink" Target="http://www.ntdprogram.gov/ntdprogram/data.htm" TargetMode="External"/><Relationship Id="rId88" Type="http://schemas.openxmlformats.org/officeDocument/2006/relationships/hyperlink" Target="http://www.sfdbi.org/index.aspx?page=268" TargetMode="External"/><Relationship Id="rId111" Type="http://schemas.openxmlformats.org/officeDocument/2006/relationships/hyperlink" Target="http://www.buildingrating.org/ammap" TargetMode="External"/><Relationship Id="rId153" Type="http://schemas.openxmlformats.org/officeDocument/2006/relationships/hyperlink" Target="http://www.houstontx.gov/mayor/press/20130208.html" TargetMode="External"/><Relationship Id="rId195" Type="http://schemas.openxmlformats.org/officeDocument/2006/relationships/hyperlink" Target="http://www.portlandoregon.gov/auditor/34835?a=250416" TargetMode="External"/><Relationship Id="rId209" Type="http://schemas.openxmlformats.org/officeDocument/2006/relationships/hyperlink" Target="http://www.houstontx.gov/adminpolicies/7-1.pdf" TargetMode="External"/><Relationship Id="rId360" Type="http://schemas.openxmlformats.org/officeDocument/2006/relationships/hyperlink" Target="http://clerk.ci.seattle.wa.us/~public/toc/23-43.htm" TargetMode="External"/><Relationship Id="rId416" Type="http://schemas.openxmlformats.org/officeDocument/2006/relationships/hyperlink" Target="http://www.afdc.energy.gov/cleancities/coalition/columbia-willamette" TargetMode="External"/><Relationship Id="rId220" Type="http://schemas.openxmlformats.org/officeDocument/2006/relationships/hyperlink" Target="http://stlouis-mo.gov/government/departments/mayor/initiatives/sustainability/Sustainable-Policies-and-Ordinances.cfm" TargetMode="External"/><Relationship Id="rId458" Type="http://schemas.openxmlformats.org/officeDocument/2006/relationships/hyperlink" Target="http://htaindex.cnt.org/" TargetMode="External"/><Relationship Id="rId15" Type="http://schemas.openxmlformats.org/officeDocument/2006/relationships/hyperlink" Target="http://www.greenprintdenver.org/about/climate-action-plan-reports/" TargetMode="External"/><Relationship Id="rId57" Type="http://schemas.openxmlformats.org/officeDocument/2006/relationships/hyperlink" Target="http://www.greenhoustontx.gov/greenbuilding.html" TargetMode="External"/><Relationship Id="rId262" Type="http://schemas.openxmlformats.org/officeDocument/2006/relationships/hyperlink" Target="http://www.sanantonio.gov/oep/SustainabilityPlan/Mission%20Verde.pdf" TargetMode="External"/><Relationship Id="rId318" Type="http://schemas.openxmlformats.org/officeDocument/2006/relationships/hyperlink" Target="http://utilities.columbus.gov/DocListing.aspx?id=38043" TargetMode="External"/><Relationship Id="rId525" Type="http://schemas.openxmlformats.org/officeDocument/2006/relationships/hyperlink" Target="http://www.rita.dot.gov/bts/data_and_statistics/by_region/state_and_local/index.html" TargetMode="External"/><Relationship Id="rId567" Type="http://schemas.openxmlformats.org/officeDocument/2006/relationships/hyperlink" Target="http://www.ntdprogram.gov/ntdprogram/data.htm" TargetMode="External"/><Relationship Id="rId99" Type="http://schemas.openxmlformats.org/officeDocument/2006/relationships/hyperlink" Target="http://www.buildingrating.org/content/us-policy-briefs" TargetMode="External"/><Relationship Id="rId122" Type="http://schemas.openxmlformats.org/officeDocument/2006/relationships/hyperlink" Target="http://www.energystar.gov/index.cfm?fuseaction=hpwes_profiles.showFindaProgram" TargetMode="External"/><Relationship Id="rId164" Type="http://schemas.openxmlformats.org/officeDocument/2006/relationships/hyperlink" Target="http://pittsburghclimate.org/wp-content/uploads/2011/12/Pittsburgh-Climate-Action-Plan-Version-2-FINAL-Web.pdf" TargetMode="External"/><Relationship Id="rId371" Type="http://schemas.openxmlformats.org/officeDocument/2006/relationships/hyperlink" Target="http://www.seattle.gov/dpd/Planning/Seattle_s_Comprehensive_Plan/ComprehensivePlan/default.asp" TargetMode="External"/><Relationship Id="rId427" Type="http://schemas.openxmlformats.org/officeDocument/2006/relationships/hyperlink" Target="http://www.greenhoustontx.gov/ev/houstondriveselectric.html" TargetMode="External"/><Relationship Id="rId469" Type="http://schemas.openxmlformats.org/officeDocument/2006/relationships/hyperlink" Target="http://htaindex.cnt.org/" TargetMode="External"/><Relationship Id="rId26" Type="http://schemas.openxmlformats.org/officeDocument/2006/relationships/hyperlink" Target="http://www.tampagov.net/dept_green_tampa/files/2011_Information_Resources/Strategies_and_Reports/Annual_Sustainability_Report_2012.pdf" TargetMode="External"/><Relationship Id="rId231" Type="http://schemas.openxmlformats.org/officeDocument/2006/relationships/hyperlink" Target="http://charmeck.org/mecklenburg/county/LUESA/sustainability/Documents/EPPG2010.pdf" TargetMode="External"/><Relationship Id="rId273" Type="http://schemas.openxmlformats.org/officeDocument/2006/relationships/hyperlink" Target="http://onesanfrancisco.org/wp-content/uploads/Proposed-Capital-Plan-FY14-23.pdf" TargetMode="External"/><Relationship Id="rId329" Type="http://schemas.openxmlformats.org/officeDocument/2006/relationships/hyperlink" Target="http://www.indy.gov/eGov/City/DPW/SustainIndy/Pages/SustainIndyHome.aspx" TargetMode="External"/><Relationship Id="rId480" Type="http://schemas.openxmlformats.org/officeDocument/2006/relationships/hyperlink" Target="http://elpaso.icarpool.com/" TargetMode="External"/><Relationship Id="rId536" Type="http://schemas.openxmlformats.org/officeDocument/2006/relationships/hyperlink" Target="http://faf.ornl.gov/fafweb/Extraction1.aspx" TargetMode="External"/><Relationship Id="rId68" Type="http://schemas.openxmlformats.org/officeDocument/2006/relationships/hyperlink" Target="http://home.elpasotexas.gov/city-development/documents/incentives/Green%20Building%20Grant%20Program%20Guidelines.pdf" TargetMode="External"/><Relationship Id="rId133" Type="http://schemas.openxmlformats.org/officeDocument/2006/relationships/hyperlink" Target="http://www.energystar.gov/index.cfm?fuseaction=hpwes_profiles.showFindaProgram" TargetMode="External"/><Relationship Id="rId175" Type="http://schemas.openxmlformats.org/officeDocument/2006/relationships/hyperlink" Target="http://www.sacgp.org/climate_action_plan.html" TargetMode="External"/><Relationship Id="rId340" Type="http://schemas.openxmlformats.org/officeDocument/2006/relationships/hyperlink" Target="http://dcoz.dc.gov/info/reg.shtm" TargetMode="External"/><Relationship Id="rId578" Type="http://schemas.openxmlformats.org/officeDocument/2006/relationships/hyperlink" Target="http://www.ntdprogram.gov/ntdprogram/data.ht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ea-inc.com/chpdata/" TargetMode="External"/><Relationship Id="rId1" Type="http://schemas.openxmlformats.org/officeDocument/2006/relationships/hyperlink" Target="http://www.eea-inc.com/chpdat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energystar.gov/index.cfm?fuseaction=hpwes_profiles.showFindaProgram" TargetMode="External"/><Relationship Id="rId7" Type="http://schemas.openxmlformats.org/officeDocument/2006/relationships/hyperlink" Target="http://censtats.census.gov/bldg/bldgprmt.shtml" TargetMode="External"/><Relationship Id="rId2" Type="http://schemas.openxmlformats.org/officeDocument/2006/relationships/hyperlink" Target="http://energycodesocean.org/code-status" TargetMode="External"/><Relationship Id="rId1" Type="http://schemas.openxmlformats.org/officeDocument/2006/relationships/hyperlink" Target="http://energycodesocean.org/code-status" TargetMode="External"/><Relationship Id="rId6" Type="http://schemas.openxmlformats.org/officeDocument/2006/relationships/hyperlink" Target="http://www4.eere.energy.gov/challenge/partners" TargetMode="External"/><Relationship Id="rId5" Type="http://schemas.openxmlformats.org/officeDocument/2006/relationships/hyperlink" Target="http://energycodesocean.org/code-status" TargetMode="External"/><Relationship Id="rId10" Type="http://schemas.openxmlformats.org/officeDocument/2006/relationships/comments" Target="../comments3.xml"/><Relationship Id="rId4" Type="http://schemas.openxmlformats.org/officeDocument/2006/relationships/hyperlink" Target="http://energycodesocean.org/code-status"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eia.gov/electricity/data/eia861/" TargetMode="External"/><Relationship Id="rId7" Type="http://schemas.openxmlformats.org/officeDocument/2006/relationships/hyperlink" Target="http://www.energystar.gov/ia/business/downloads/Directory_of_Energy_Efficiency_Programs_Leveraging_ENERGY_STAR.pdf" TargetMode="External"/><Relationship Id="rId2" Type="http://schemas.openxmlformats.org/officeDocument/2006/relationships/hyperlink" Target="http://www.eia.gov/electricity/data/eia861/" TargetMode="External"/><Relationship Id="rId1" Type="http://schemas.openxmlformats.org/officeDocument/2006/relationships/hyperlink" Target="http://en.openei.org/wiki/OpenEI:Utility_data_access_map" TargetMode="External"/><Relationship Id="rId6" Type="http://schemas.openxmlformats.org/officeDocument/2006/relationships/hyperlink" Target="http://www.eia.gov/electricity/data/eia861/" TargetMode="External"/><Relationship Id="rId5" Type="http://schemas.openxmlformats.org/officeDocument/2006/relationships/hyperlink" Target="http://www.eia.gov/electricity/data/eia861/" TargetMode="External"/><Relationship Id="rId10" Type="http://schemas.openxmlformats.org/officeDocument/2006/relationships/comments" Target="../comments4.xml"/><Relationship Id="rId4" Type="http://schemas.openxmlformats.org/officeDocument/2006/relationships/hyperlink" Target="http://www.eia.gov/cfapps/ngqs/ngqs.cfm?f_report=RP4&amp;f_sortby=&amp;f_items=&amp;f_year_start=&amp;f_year_end=&amp;f_show_compid=&amp;f_fullscreen="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hyperlink" Target="http://www.ntdprogram.gov/ntdprogram/datbase/2011_database/NTDdatabase.htm" TargetMode="External"/><Relationship Id="rId3" Type="http://schemas.openxmlformats.org/officeDocument/2006/relationships/hyperlink" Target="http://www1.eere.energy.gov/cleancities/coalitions.html" TargetMode="External"/><Relationship Id="rId7" Type="http://schemas.openxmlformats.org/officeDocument/2006/relationships/hyperlink" Target="http://faf.ornl.gov/fafweb/Extraction1.aspx" TargetMode="External"/><Relationship Id="rId2" Type="http://schemas.openxmlformats.org/officeDocument/2006/relationships/hyperlink" Target="http://www.carsharing.net/where.html" TargetMode="External"/><Relationship Id="rId1" Type="http://schemas.openxmlformats.org/officeDocument/2006/relationships/hyperlink" Target="http://www.smartgrowthamerica.org/documents/cs-2012-policy-analysis.pdf" TargetMode="External"/><Relationship Id="rId6" Type="http://schemas.openxmlformats.org/officeDocument/2006/relationships/hyperlink" Target="http://www.rita.dot.gov/bts/sites/rita.dot.gov.bts/files/publications/national_transportation_atlas_database/2013/points.html" TargetMode="External"/><Relationship Id="rId11" Type="http://schemas.openxmlformats.org/officeDocument/2006/relationships/comments" Target="../comments5.xml"/><Relationship Id="rId5" Type="http://schemas.openxmlformats.org/officeDocument/2006/relationships/hyperlink" Target="http://www.ntdprogram.gov/ntdprogram/data.htm" TargetMode="External"/><Relationship Id="rId10" Type="http://schemas.openxmlformats.org/officeDocument/2006/relationships/vmlDrawing" Target="../drawings/vmlDrawing5.vml"/><Relationship Id="rId4" Type="http://schemas.openxmlformats.org/officeDocument/2006/relationships/hyperlink" Target="http://htaindex.cnt.org/map/"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1"/>
  <dimension ref="C3:L28"/>
  <sheetViews>
    <sheetView topLeftCell="A25" zoomScale="90" zoomScaleNormal="90" workbookViewId="0">
      <selection activeCell="F20" sqref="F20"/>
    </sheetView>
  </sheetViews>
  <sheetFormatPr defaultRowHeight="15"/>
  <cols>
    <col min="3" max="4" width="19.85546875" customWidth="1"/>
    <col min="5" max="5" width="19" bestFit="1" customWidth="1"/>
    <col min="6" max="6" width="22.7109375" customWidth="1"/>
    <col min="7" max="7" width="15.5703125" customWidth="1"/>
    <col min="8" max="8" width="21" customWidth="1"/>
    <col min="9" max="9" width="20" customWidth="1"/>
    <col min="10" max="10" width="18.140625" customWidth="1"/>
    <col min="11" max="11" width="24.85546875" customWidth="1"/>
    <col min="12" max="12" width="22" customWidth="1"/>
    <col min="13" max="13" width="21.5703125" customWidth="1"/>
    <col min="14" max="14" width="18.28515625" customWidth="1"/>
  </cols>
  <sheetData>
    <row r="3" spans="3:4" ht="31.5">
      <c r="C3" s="14" t="s">
        <v>210</v>
      </c>
      <c r="D3" s="14"/>
    </row>
    <row r="4" spans="3:4">
      <c r="C4" t="s">
        <v>391</v>
      </c>
    </row>
    <row r="18" spans="3:12">
      <c r="C18" s="84" t="s">
        <v>431</v>
      </c>
      <c r="D18" s="284" t="s">
        <v>1771</v>
      </c>
    </row>
    <row r="19" spans="3:12" ht="30">
      <c r="C19" s="23" t="s">
        <v>392</v>
      </c>
      <c r="D19" s="22" t="s">
        <v>468</v>
      </c>
      <c r="E19" s="23" t="s">
        <v>393</v>
      </c>
      <c r="K19" s="21"/>
      <c r="L19" s="21"/>
    </row>
    <row r="20" spans="3:12">
      <c r="C20" s="285">
        <v>42417</v>
      </c>
      <c r="D20" s="285">
        <v>16897</v>
      </c>
      <c r="E20" s="285">
        <v>625741</v>
      </c>
    </row>
    <row r="21" spans="3:12">
      <c r="C21" s="20" t="s">
        <v>221</v>
      </c>
      <c r="D21" s="20" t="s">
        <v>221</v>
      </c>
      <c r="E21" s="20" t="s">
        <v>221</v>
      </c>
    </row>
    <row r="22" spans="3:12">
      <c r="C22" s="116"/>
      <c r="D22" s="116"/>
      <c r="E22" s="116"/>
    </row>
    <row r="25" spans="3:12">
      <c r="C25" t="s">
        <v>226</v>
      </c>
    </row>
    <row r="27" spans="3:12">
      <c r="C27" s="33"/>
      <c r="D27" t="s">
        <v>442</v>
      </c>
    </row>
    <row r="28" spans="3:12">
      <c r="C28" s="34"/>
      <c r="D28" t="s">
        <v>463</v>
      </c>
    </row>
  </sheetData>
  <sheetProtection password="C6D8" sheet="1" objects="1" scenarios="1"/>
  <phoneticPr fontId="43" type="noConversion"/>
  <hyperlinks>
    <hyperlink ref="C21" r:id="rId1" display="United State Census"/>
    <hyperlink ref="E21" r:id="rId2" display="United State Census"/>
    <hyperlink ref="D21" r:id="rId3" display="United State Census"/>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sheetPr codeName="Sheet9"/>
  <dimension ref="A2:I113"/>
  <sheetViews>
    <sheetView workbookViewId="0">
      <selection activeCell="D106" sqref="D106"/>
    </sheetView>
  </sheetViews>
  <sheetFormatPr defaultRowHeight="15"/>
  <cols>
    <col min="3" max="3" width="15.42578125" bestFit="1" customWidth="1"/>
    <col min="4" max="4" width="57.28515625" customWidth="1"/>
    <col min="5" max="5" width="54.7109375" bestFit="1" customWidth="1"/>
    <col min="6" max="6" width="10" bestFit="1" customWidth="1"/>
    <col min="7" max="7" width="9" customWidth="1"/>
  </cols>
  <sheetData>
    <row r="2" spans="1:9" ht="18.75">
      <c r="C2" s="9"/>
      <c r="D2" s="326" t="s">
        <v>244</v>
      </c>
      <c r="E2" s="326"/>
      <c r="F2" s="326"/>
      <c r="G2" s="326"/>
    </row>
    <row r="3" spans="1:9">
      <c r="B3" s="111" t="s">
        <v>248</v>
      </c>
      <c r="E3" t="s">
        <v>355</v>
      </c>
      <c r="F3" t="s">
        <v>217</v>
      </c>
    </row>
    <row r="4" spans="1:9">
      <c r="A4" s="95">
        <v>0</v>
      </c>
      <c r="B4">
        <f>IF(C4=0,E4,0)</f>
        <v>0</v>
      </c>
      <c r="C4" s="94">
        <f>F4/E4</f>
        <v>0.1</v>
      </c>
      <c r="D4" s="81" t="str">
        <f ca="1">'Detailed Analysis'!B5</f>
        <v>Local Government Operations</v>
      </c>
      <c r="E4" s="81">
        <f ca="1">'Detailed Analysis'!C5</f>
        <v>15</v>
      </c>
      <c r="F4">
        <f ca="1">'Detailed Analysis'!D5</f>
        <v>1.5</v>
      </c>
      <c r="G4" s="95"/>
    </row>
    <row r="5" spans="1:9">
      <c r="B5">
        <f>IF(C5=0,E5,0)</f>
        <v>0</v>
      </c>
      <c r="C5" s="94">
        <f>F5/E5</f>
        <v>0.25</v>
      </c>
      <c r="D5" s="81" t="str">
        <f ca="1">'Detailed Analysis'!B24</f>
        <v>Community-Wide Initiatives</v>
      </c>
      <c r="E5" s="81">
        <f ca="1">'Detailed Analysis'!C24</f>
        <v>10</v>
      </c>
      <c r="F5">
        <f ca="1">'Detailed Analysis'!D24</f>
        <v>2.5</v>
      </c>
      <c r="G5" s="95"/>
    </row>
    <row r="6" spans="1:9">
      <c r="B6" t="e">
        <f>IF(C6=0,E6,0)</f>
        <v>#N/A</v>
      </c>
      <c r="C6" s="94" t="e">
        <f>F6/E6</f>
        <v>#N/A</v>
      </c>
      <c r="D6" s="81" t="str">
        <f ca="1">'Detailed Analysis'!B35</f>
        <v>Buildings Policies</v>
      </c>
      <c r="E6" s="81">
        <f ca="1">'Detailed Analysis'!C35</f>
        <v>29</v>
      </c>
      <c r="F6" t="e">
        <f ca="1">'Detailed Analysis'!D35</f>
        <v>#N/A</v>
      </c>
      <c r="G6" s="95"/>
      <c r="I6" s="94"/>
    </row>
    <row r="7" spans="1:9">
      <c r="B7" t="e">
        <f>IF(C7=0,E7,0)</f>
        <v>#VALUE!</v>
      </c>
      <c r="C7" s="94" t="e">
        <f>F7/E7</f>
        <v>#VALUE!</v>
      </c>
      <c r="D7" s="81" t="str">
        <f ca="1">'Detailed Analysis'!B55</f>
        <v>Energy and Water Utility Policies &amp; Public Benefit Programs</v>
      </c>
      <c r="E7" s="81">
        <f ca="1">'Detailed Analysis'!C55</f>
        <v>18</v>
      </c>
      <c r="F7" t="e">
        <f ca="1">'Detailed Analysis'!D55</f>
        <v>#VALUE!</v>
      </c>
      <c r="G7" s="95"/>
      <c r="I7" s="94"/>
    </row>
    <row r="8" spans="1:9">
      <c r="B8" t="e">
        <f>IF(C8=0,E8,0)</f>
        <v>#VALUE!</v>
      </c>
      <c r="C8" s="94" t="e">
        <f>F8/E8</f>
        <v>#VALUE!</v>
      </c>
      <c r="D8" t="str">
        <f ca="1">'Detailed Analysis'!B68</f>
        <v>Transportation Policies</v>
      </c>
      <c r="E8" s="81">
        <f ca="1">'Detailed Analysis'!C68</f>
        <v>28</v>
      </c>
      <c r="F8" t="e">
        <f ca="1">'Detailed Analysis'!D68</f>
        <v>#VALUE!</v>
      </c>
      <c r="G8" s="95"/>
      <c r="I8" s="94"/>
    </row>
    <row r="9" spans="1:9">
      <c r="C9" s="94"/>
      <c r="E9" s="81"/>
      <c r="G9" s="95"/>
      <c r="I9" s="94"/>
    </row>
    <row r="10" spans="1:9">
      <c r="B10" s="80" t="s">
        <v>247</v>
      </c>
      <c r="C10" s="94" t="e">
        <f>IF(OR(C4=0,C5=0,C6=0,C7=0,C8=0),A4,MIN(C4:C8))</f>
        <v>#N/A</v>
      </c>
      <c r="D10" s="95" t="e">
        <f>TEXT(C10,"0%")</f>
        <v>#N/A</v>
      </c>
      <c r="E10" s="81"/>
      <c r="G10" s="95"/>
      <c r="I10" s="94"/>
    </row>
    <row r="11" spans="1:9">
      <c r="C11" s="94"/>
      <c r="D11" t="e">
        <f>IF(OR(C4=0,C5=0,C6=0,C7=0,C8=0),VLOOKUP(MAX(B4:B8),A18:D100,4,FALSE),VLOOKUP(C10,C4:D8,2,FALSE))</f>
        <v>#N/A</v>
      </c>
      <c r="E11" s="81"/>
      <c r="G11" s="95"/>
      <c r="I11" s="94"/>
    </row>
    <row r="12" spans="1:9">
      <c r="B12" s="81"/>
      <c r="C12" s="81"/>
      <c r="D12" s="81"/>
      <c r="E12" s="81"/>
      <c r="I12" s="94"/>
    </row>
    <row r="14" spans="1:9">
      <c r="B14" s="80" t="s">
        <v>183</v>
      </c>
      <c r="C14" s="95" t="e">
        <f>MAX(C4:C8)</f>
        <v>#N/A</v>
      </c>
    </row>
    <row r="15" spans="1:9">
      <c r="C15" s="96" t="e">
        <f>TEXT(C14,"0%")</f>
        <v>#N/A</v>
      </c>
    </row>
    <row r="17" spans="1:7">
      <c r="A17" s="112"/>
      <c r="B17" s="9"/>
      <c r="C17" s="9" t="s">
        <v>201</v>
      </c>
      <c r="G17" s="9"/>
    </row>
    <row r="18" spans="1:7">
      <c r="A18" s="17">
        <f>E18</f>
        <v>15</v>
      </c>
      <c r="B18" s="95">
        <f>F18/E18</f>
        <v>0.1</v>
      </c>
      <c r="C18" s="79">
        <f>F18-E18</f>
        <v>-13.5</v>
      </c>
      <c r="D18" s="79" t="str">
        <f ca="1">'Detailed Analysis'!B5</f>
        <v>Local Government Operations</v>
      </c>
      <c r="E18" s="79">
        <f ca="1">'Detailed Analysis'!C5</f>
        <v>15</v>
      </c>
      <c r="F18" s="79">
        <f ca="1">'Detailed Analysis'!D5</f>
        <v>1.5</v>
      </c>
      <c r="G18" s="95"/>
    </row>
    <row r="19" spans="1:7">
      <c r="A19" s="17"/>
      <c r="B19" s="95">
        <f>F19/E19</f>
        <v>0.125</v>
      </c>
      <c r="C19" s="34">
        <f>F19-E19</f>
        <v>-3.5</v>
      </c>
      <c r="D19" s="34" t="str">
        <f ca="1">'Detailed Analysis'!B6</f>
        <v>Initial Energy Management Policies for Government Operations</v>
      </c>
      <c r="E19" s="34">
        <f ca="1">'Detailed Analysis'!C6</f>
        <v>4</v>
      </c>
      <c r="F19" s="34">
        <f ca="1">'Detailed Analysis'!D6</f>
        <v>0.5</v>
      </c>
      <c r="G19" s="95"/>
    </row>
    <row r="20" spans="1:7">
      <c r="A20" s="17"/>
      <c r="B20" s="95"/>
      <c r="D20" s="81" t="str">
        <f ca="1">'Detailed Analysis'!B7</f>
        <v>Dedicated Staff</v>
      </c>
      <c r="E20" s="81">
        <f ca="1">'Detailed Analysis'!C7</f>
        <v>0.5</v>
      </c>
      <c r="F20" s="81" t="str">
        <f ca="1">'Detailed Analysis'!D7</f>
        <v/>
      </c>
      <c r="G20" s="95"/>
    </row>
    <row r="21" spans="1:7">
      <c r="A21" s="17"/>
      <c r="B21" s="95"/>
      <c r="D21" s="81" t="str">
        <f ca="1">'Detailed Analysis'!B8</f>
        <v>Public Lighting</v>
      </c>
      <c r="E21" s="81">
        <f ca="1">'Detailed Analysis'!C8</f>
        <v>1</v>
      </c>
      <c r="F21" s="81" t="str">
        <f ca="1">'Detailed Analysis'!D8</f>
        <v/>
      </c>
      <c r="G21" s="95"/>
    </row>
    <row r="22" spans="1:7">
      <c r="A22" s="17"/>
      <c r="B22" s="95"/>
      <c r="D22" s="81" t="str">
        <f ca="1">'Detailed Analysis'!B9</f>
        <v>Energy-Efficient Procurement Policy</v>
      </c>
      <c r="E22" s="81">
        <f ca="1">'Detailed Analysis'!C9</f>
        <v>0.5</v>
      </c>
      <c r="F22" s="81">
        <f ca="1">'Detailed Analysis'!D9</f>
        <v>0.5</v>
      </c>
      <c r="G22" s="95"/>
    </row>
    <row r="23" spans="1:7">
      <c r="A23" s="17"/>
      <c r="B23" s="95"/>
      <c r="D23" s="81" t="str">
        <f ca="1">'Detailed Analysis'!B10</f>
        <v>Maintenance in Capital Budget</v>
      </c>
      <c r="E23" s="81">
        <f ca="1">'Detailed Analysis'!C10</f>
        <v>1</v>
      </c>
      <c r="F23" s="81">
        <f ca="1">'Detailed Analysis'!D10</f>
        <v>0</v>
      </c>
      <c r="G23" s="95"/>
    </row>
    <row r="24" spans="1:7">
      <c r="A24" s="17"/>
      <c r="B24" s="95"/>
      <c r="D24" s="81" t="str">
        <f ca="1">'Detailed Analysis'!B11</f>
        <v>Public Workforce</v>
      </c>
      <c r="E24" s="81">
        <f ca="1">'Detailed Analysis'!C11</f>
        <v>1</v>
      </c>
      <c r="F24" s="81" t="str">
        <f ca="1">'Detailed Analysis'!D11</f>
        <v/>
      </c>
      <c r="G24" s="95"/>
    </row>
    <row r="25" spans="1:7">
      <c r="A25" s="17"/>
      <c r="B25" s="95">
        <f>F25/E25</f>
        <v>0</v>
      </c>
      <c r="C25" s="34">
        <f>F25-E25</f>
        <v>-2</v>
      </c>
      <c r="D25" s="34" t="str">
        <f ca="1">'Detailed Analysis'!B12</f>
        <v>Transparent Government Energy Usage</v>
      </c>
      <c r="E25" s="34">
        <f ca="1">'Detailed Analysis'!C12</f>
        <v>2</v>
      </c>
      <c r="F25" s="34">
        <f ca="1">'Detailed Analysis'!D12</f>
        <v>0</v>
      </c>
      <c r="G25" s="95"/>
    </row>
    <row r="26" spans="1:7">
      <c r="A26" s="17"/>
      <c r="B26" s="95"/>
      <c r="D26" s="81" t="str">
        <f ca="1">'Detailed Analysis'!B13</f>
        <v>Performance Management and Reporting</v>
      </c>
      <c r="E26" s="81">
        <f ca="1">'Detailed Analysis'!C13</f>
        <v>1</v>
      </c>
      <c r="F26" s="81" t="str">
        <f ca="1">'Detailed Analysis'!D13</f>
        <v/>
      </c>
      <c r="G26" s="95"/>
    </row>
    <row r="27" spans="1:7">
      <c r="A27" s="17"/>
      <c r="B27" s="95"/>
      <c r="D27" s="81" t="str">
        <f ca="1">'Detailed Analysis'!B14</f>
        <v>Building Benchmarking</v>
      </c>
      <c r="E27" s="81">
        <f ca="1">'Detailed Analysis'!C14</f>
        <v>1</v>
      </c>
      <c r="F27" s="81">
        <f ca="1">'Detailed Analysis'!D14</f>
        <v>0</v>
      </c>
      <c r="G27" s="95"/>
    </row>
    <row r="28" spans="1:7">
      <c r="A28" s="17"/>
      <c r="B28" s="95">
        <f>F28/E28</f>
        <v>0.1111111111111111</v>
      </c>
      <c r="C28" s="34">
        <f>F28-E28</f>
        <v>-8</v>
      </c>
      <c r="D28" s="34" t="str">
        <f ca="1">'Detailed Analysis'!B15</f>
        <v>Comprehensive Energy Management Strategy for Government Operations</v>
      </c>
      <c r="E28" s="34">
        <f ca="1">'Detailed Analysis'!C15</f>
        <v>9</v>
      </c>
      <c r="F28" s="34">
        <f ca="1">'Detailed Analysis'!D15</f>
        <v>1</v>
      </c>
      <c r="G28" s="95"/>
    </row>
    <row r="29" spans="1:7">
      <c r="A29" s="17"/>
      <c r="B29" s="95"/>
      <c r="D29" s="81" t="str">
        <f ca="1">'Detailed Analysis'!B16</f>
        <v>Local Government Energy Efficiency Targets</v>
      </c>
      <c r="E29" s="81">
        <f ca="1">'Detailed Analysis'!C16</f>
        <v>2</v>
      </c>
      <c r="F29" s="81">
        <f ca="1">'Detailed Analysis'!D16</f>
        <v>1</v>
      </c>
      <c r="G29" s="95"/>
    </row>
    <row r="30" spans="1:7">
      <c r="A30" s="17"/>
      <c r="B30" s="95"/>
      <c r="D30" s="81" t="str">
        <f ca="1">'Detailed Analysis'!B17</f>
        <v>Progress Towards Efficiency Goals</v>
      </c>
      <c r="E30" s="81">
        <f ca="1">'Detailed Analysis'!C17</f>
        <v>1.5</v>
      </c>
      <c r="F30" s="81" t="str">
        <f ca="1">'Detailed Analysis'!D17</f>
        <v/>
      </c>
      <c r="G30" s="95"/>
    </row>
    <row r="31" spans="1:7">
      <c r="A31" s="17"/>
      <c r="B31" s="95"/>
      <c r="D31" s="81" t="str">
        <f ca="1">'Detailed Analysis'!B18</f>
        <v>Third Party EM&amp;V</v>
      </c>
      <c r="E31" s="81">
        <f ca="1">'Detailed Analysis'!C18</f>
        <v>0.5</v>
      </c>
      <c r="F31" s="81">
        <f ca="1">'Detailed Analysis'!D18</f>
        <v>0</v>
      </c>
      <c r="G31" s="95"/>
    </row>
    <row r="32" spans="1:7">
      <c r="A32" s="17"/>
      <c r="B32" s="95"/>
      <c r="D32" s="81" t="str">
        <f ca="1">'Detailed Analysis'!B19</f>
        <v>Departmental/Staff Incentives</v>
      </c>
      <c r="E32" s="81">
        <f ca="1">'Detailed Analysis'!C19</f>
        <v>0.5</v>
      </c>
      <c r="F32" s="81" t="str">
        <f ca="1">'Detailed Analysis'!D19</f>
        <v/>
      </c>
      <c r="G32" s="95"/>
    </row>
    <row r="33" spans="1:7">
      <c r="A33" s="17"/>
      <c r="B33" s="95"/>
      <c r="D33" s="81" t="str">
        <f ca="1">'Detailed Analysis'!B20</f>
        <v>Fleet Efficiency and Vehicle Infrastructure</v>
      </c>
      <c r="E33" s="81">
        <f ca="1">'Detailed Analysis'!C20</f>
        <v>2</v>
      </c>
      <c r="F33" s="81" t="str">
        <f ca="1">'Detailed Analysis'!D20</f>
        <v/>
      </c>
      <c r="G33" s="95"/>
    </row>
    <row r="34" spans="1:7">
      <c r="A34" s="17"/>
      <c r="B34" s="95"/>
      <c r="D34" s="81" t="str">
        <f ca="1">'Detailed Analysis'!B21</f>
        <v>Above Code Requirements for Public Buildings</v>
      </c>
      <c r="E34" s="81">
        <f ca="1">'Detailed Analysis'!C21</f>
        <v>0.5</v>
      </c>
      <c r="F34" s="81" t="str">
        <f ca="1">'Detailed Analysis'!D21</f>
        <v/>
      </c>
      <c r="G34" s="95"/>
    </row>
    <row r="35" spans="1:7">
      <c r="A35" s="17"/>
      <c r="B35" s="95"/>
      <c r="D35" s="81" t="str">
        <f ca="1">'Detailed Analysis'!B22</f>
        <v>Comprehensive Retrofit Strategy</v>
      </c>
      <c r="E35" s="81">
        <f ca="1">'Detailed Analysis'!C22</f>
        <v>1</v>
      </c>
      <c r="F35" s="81" t="str">
        <f ca="1">'Detailed Analysis'!D22</f>
        <v/>
      </c>
      <c r="G35" s="95"/>
    </row>
    <row r="36" spans="1:7">
      <c r="A36" s="17"/>
      <c r="B36" s="95"/>
      <c r="D36" s="81" t="str">
        <f ca="1">'Detailed Analysis'!B23</f>
        <v>Fix-It-First or Lifecycle Cost Policy</v>
      </c>
      <c r="E36" s="81">
        <f ca="1">'Detailed Analysis'!C23</f>
        <v>1</v>
      </c>
      <c r="F36" s="81">
        <f ca="1">'Detailed Analysis'!D23</f>
        <v>0</v>
      </c>
      <c r="G36" s="95"/>
    </row>
    <row r="37" spans="1:7">
      <c r="A37" s="17">
        <f>E37</f>
        <v>10</v>
      </c>
      <c r="B37" s="95">
        <f>F37/E37</f>
        <v>0.25</v>
      </c>
      <c r="C37" s="79">
        <f>F37-E37</f>
        <v>-7.5</v>
      </c>
      <c r="D37" s="79" t="str">
        <f ca="1">'Detailed Analysis'!B24</f>
        <v>Community-Wide Initiatives</v>
      </c>
      <c r="E37" s="79">
        <f ca="1">'Detailed Analysis'!C24</f>
        <v>10</v>
      </c>
      <c r="F37" s="79">
        <f ca="1">'Detailed Analysis'!D24</f>
        <v>2.5</v>
      </c>
      <c r="G37" s="95"/>
    </row>
    <row r="38" spans="1:7">
      <c r="A38" s="17"/>
      <c r="B38" s="95">
        <f>F38/E38</f>
        <v>0</v>
      </c>
      <c r="C38" s="34">
        <f>F38-E38</f>
        <v>-1.5</v>
      </c>
      <c r="D38" s="34" t="str">
        <f ca="1">'Detailed Analysis'!B25</f>
        <v>Getting Started on Community-Wide Energy Efficiency</v>
      </c>
      <c r="E38" s="34">
        <f ca="1">'Detailed Analysis'!C25</f>
        <v>1.5</v>
      </c>
      <c r="F38" s="34">
        <f ca="1">'Detailed Analysis'!D25</f>
        <v>0</v>
      </c>
      <c r="G38" s="95"/>
    </row>
    <row r="39" spans="1:7">
      <c r="A39" s="17"/>
      <c r="B39" s="95"/>
      <c r="D39" s="81" t="str">
        <f ca="1">'Detailed Analysis'!B26</f>
        <v>Dedicated Staff</v>
      </c>
      <c r="E39" s="81">
        <f ca="1">'Detailed Analysis'!C26</f>
        <v>0.5</v>
      </c>
      <c r="F39" s="81" t="str">
        <f ca="1">'Detailed Analysis'!D26</f>
        <v/>
      </c>
      <c r="G39" s="95"/>
    </row>
    <row r="40" spans="1:7">
      <c r="A40" s="17"/>
      <c r="B40" s="95"/>
      <c r="D40" s="81" t="str">
        <f ca="1">'Detailed Analysis'!B27</f>
        <v xml:space="preserve"> Urban Heat Island Effect Mitigation Programs</v>
      </c>
      <c r="E40" s="81">
        <f ca="1">'Detailed Analysis'!C27</f>
        <v>1</v>
      </c>
      <c r="F40" s="81" t="str">
        <f ca="1">'Detailed Analysis'!D27</f>
        <v/>
      </c>
      <c r="G40" s="95"/>
    </row>
    <row r="41" spans="1:7">
      <c r="A41" s="17"/>
      <c r="B41" s="95">
        <f>F41/E41</f>
        <v>0</v>
      </c>
      <c r="C41" s="34">
        <f>F41-E41</f>
        <v>-0.5</v>
      </c>
      <c r="D41" s="34" t="str">
        <f ca="1">'Detailed Analysis'!B28</f>
        <v>Informing the Community</v>
      </c>
      <c r="E41" s="34">
        <f ca="1">'Detailed Analysis'!C28</f>
        <v>0.5</v>
      </c>
      <c r="F41" s="34">
        <f ca="1">'Detailed Analysis'!D28</f>
        <v>0</v>
      </c>
      <c r="G41" s="95"/>
    </row>
    <row r="42" spans="1:7">
      <c r="A42" s="17"/>
      <c r="B42" s="95"/>
      <c r="D42" s="81" t="str">
        <f ca="1">'Detailed Analysis'!B29</f>
        <v>Annual Public Reporting</v>
      </c>
      <c r="E42" s="81">
        <f ca="1">'Detailed Analysis'!C29</f>
        <v>0.5</v>
      </c>
      <c r="F42" s="81" t="str">
        <f ca="1">'Detailed Analysis'!D29</f>
        <v/>
      </c>
      <c r="G42" s="95"/>
    </row>
    <row r="43" spans="1:7">
      <c r="A43" s="17"/>
      <c r="B43" s="95">
        <f>F43/E43</f>
        <v>0.3125</v>
      </c>
      <c r="C43" s="34">
        <f>F43-E43</f>
        <v>-5.5</v>
      </c>
      <c r="D43" s="34" t="str">
        <f ca="1">'Detailed Analysis'!B30</f>
        <v>Comprehensive Community-Wide Energy Management Strategy</v>
      </c>
      <c r="E43" s="34">
        <f ca="1">'Detailed Analysis'!C30</f>
        <v>8</v>
      </c>
      <c r="F43" s="34">
        <f ca="1">'Detailed Analysis'!D30</f>
        <v>2.5</v>
      </c>
      <c r="G43" s="95"/>
    </row>
    <row r="44" spans="1:7">
      <c r="A44" s="17"/>
      <c r="B44" s="95"/>
      <c r="D44" s="81" t="str">
        <f ca="1">'Detailed Analysis'!B31</f>
        <v>Community-Wide Energy Efficiency Targets</v>
      </c>
      <c r="E44" s="81">
        <f ca="1">'Detailed Analysis'!C31</f>
        <v>2</v>
      </c>
      <c r="F44" s="81">
        <f ca="1">'Detailed Analysis'!D31</f>
        <v>2</v>
      </c>
      <c r="G44" s="95"/>
    </row>
    <row r="45" spans="1:7">
      <c r="A45" s="17"/>
      <c r="B45" s="95"/>
      <c r="D45" s="81" t="str">
        <f ca="1">'Detailed Analysis'!B32</f>
        <v>Performance Management Strategies</v>
      </c>
      <c r="E45" s="81">
        <f ca="1">'Detailed Analysis'!C32</f>
        <v>2</v>
      </c>
      <c r="F45" s="81">
        <f ca="1">'Detailed Analysis'!D32</f>
        <v>0.5</v>
      </c>
      <c r="G45" s="95"/>
    </row>
    <row r="46" spans="1:7">
      <c r="A46" s="17"/>
      <c r="B46" s="95"/>
      <c r="D46" s="81" t="str">
        <f ca="1">'Detailed Analysis'!B33</f>
        <v>Efficient Distributed Energy Systems</v>
      </c>
      <c r="E46" s="81">
        <f ca="1">'Detailed Analysis'!C33</f>
        <v>3</v>
      </c>
      <c r="F46" s="81" t="str">
        <f ca="1">'Detailed Analysis'!D33</f>
        <v/>
      </c>
      <c r="G46" s="95"/>
    </row>
    <row r="47" spans="1:7">
      <c r="A47" s="17"/>
      <c r="B47" s="95"/>
      <c r="D47" s="81" t="str">
        <f ca="1">'Detailed Analysis'!B34</f>
        <v>Urban Heat Island Effect Mitigation Policies</v>
      </c>
      <c r="E47" s="81">
        <f ca="1">'Detailed Analysis'!C34</f>
        <v>1</v>
      </c>
      <c r="F47" s="81">
        <f ca="1">'Detailed Analysis'!D34</f>
        <v>0</v>
      </c>
      <c r="G47" s="95"/>
    </row>
    <row r="48" spans="1:7">
      <c r="A48" s="17">
        <f>E48</f>
        <v>29</v>
      </c>
      <c r="B48" s="95" t="e">
        <f>F48/E48</f>
        <v>#N/A</v>
      </c>
      <c r="C48" s="79" t="e">
        <f>F48-E48</f>
        <v>#N/A</v>
      </c>
      <c r="D48" s="79" t="str">
        <f ca="1">'Detailed Analysis'!B35</f>
        <v>Buildings Policies</v>
      </c>
      <c r="E48" s="79">
        <f ca="1">'Detailed Analysis'!C35</f>
        <v>29</v>
      </c>
      <c r="F48" s="79" t="e">
        <f ca="1">'Detailed Analysis'!D35</f>
        <v>#N/A</v>
      </c>
      <c r="G48" s="95"/>
    </row>
    <row r="49" spans="1:7">
      <c r="A49" s="17"/>
      <c r="B49" s="95">
        <f>F49/E49</f>
        <v>0</v>
      </c>
      <c r="C49" s="34">
        <f>F49-E49</f>
        <v>-5</v>
      </c>
      <c r="D49" s="34" t="str">
        <f ca="1">'Detailed Analysis'!B36</f>
        <v>Building Energy Codes</v>
      </c>
      <c r="E49" s="34">
        <f ca="1">'Detailed Analysis'!C36</f>
        <v>5</v>
      </c>
      <c r="F49" s="34">
        <f ca="1">'Detailed Analysis'!D36</f>
        <v>0</v>
      </c>
      <c r="G49" s="95"/>
    </row>
    <row r="50" spans="1:7">
      <c r="A50" s="17"/>
      <c r="B50" s="95"/>
      <c r="D50" s="81" t="str">
        <f ca="1">'Detailed Analysis'!B37</f>
        <v xml:space="preserve">Residential Energy Code </v>
      </c>
      <c r="E50" s="81">
        <f ca="1">'Detailed Analysis'!C37</f>
        <v>1.5</v>
      </c>
      <c r="F50" s="81" t="b">
        <f ca="1">'Detailed Analysis'!D37</f>
        <v>0</v>
      </c>
      <c r="G50" s="95"/>
    </row>
    <row r="51" spans="1:7">
      <c r="A51" s="17"/>
      <c r="B51" s="95"/>
      <c r="D51" s="81" t="str">
        <f ca="1">'Detailed Analysis'!B38</f>
        <v xml:space="preserve">Commercial Energy Code </v>
      </c>
      <c r="E51" s="81">
        <f ca="1">'Detailed Analysis'!C38</f>
        <v>1.5</v>
      </c>
      <c r="F51" s="81" t="b">
        <f ca="1">'Detailed Analysis'!D38</f>
        <v>0</v>
      </c>
      <c r="G51" s="95"/>
    </row>
    <row r="52" spans="1:7">
      <c r="A52" s="17"/>
      <c r="B52" s="95"/>
      <c r="D52" s="81" t="str">
        <f ca="1">'Detailed Analysis'!B39</f>
        <v xml:space="preserve">Spending on Compliance </v>
      </c>
      <c r="E52" s="81">
        <f ca="1">'Detailed Analysis'!C39</f>
        <v>2</v>
      </c>
      <c r="F52" s="81" t="str">
        <f ca="1">'Detailed Analysis'!D39</f>
        <v/>
      </c>
      <c r="G52" s="95"/>
    </row>
    <row r="53" spans="1:7">
      <c r="A53" s="17"/>
      <c r="B53" s="95">
        <f>F53/E53</f>
        <v>0</v>
      </c>
      <c r="C53" s="34">
        <f>F53-E53</f>
        <v>-9</v>
      </c>
      <c r="D53" s="34" t="str">
        <f ca="1">'Detailed Analysis'!B40</f>
        <v>Improving Access to Energy Usage Information</v>
      </c>
      <c r="E53" s="34">
        <f ca="1">'Detailed Analysis'!C40</f>
        <v>9</v>
      </c>
      <c r="F53" s="34">
        <f ca="1">'Detailed Analysis'!D40</f>
        <v>0</v>
      </c>
      <c r="G53" s="95"/>
    </row>
    <row r="54" spans="1:7">
      <c r="A54" s="17"/>
      <c r="B54" s="95"/>
      <c r="D54" s="81" t="str">
        <f ca="1">'Detailed Analysis'!B41</f>
        <v>Upfront Code Support</v>
      </c>
      <c r="E54" s="81">
        <f ca="1">'Detailed Analysis'!C41</f>
        <v>2</v>
      </c>
      <c r="F54" s="81" t="str">
        <f ca="1">'Detailed Analysis'!D41</f>
        <v/>
      </c>
      <c r="G54" s="95"/>
    </row>
    <row r="55" spans="1:7">
      <c r="A55" s="17"/>
      <c r="B55" s="95"/>
      <c r="D55" s="81" t="str">
        <f ca="1">'Detailed Analysis'!B42</f>
        <v>Energy Audit  Requirements</v>
      </c>
      <c r="E55" s="81">
        <f ca="1">'Detailed Analysis'!C42</f>
        <v>1</v>
      </c>
      <c r="F55" s="81">
        <f ca="1">'Detailed Analysis'!D42</f>
        <v>0</v>
      </c>
      <c r="G55" s="95"/>
    </row>
    <row r="56" spans="1:7">
      <c r="A56" s="17"/>
      <c r="B56" s="95"/>
      <c r="D56" s="81" t="str">
        <f ca="1">'Detailed Analysis'!B43</f>
        <v>Commercial Benchmarking and Disclosure Policies</v>
      </c>
      <c r="E56" s="81">
        <f ca="1">'Detailed Analysis'!C43</f>
        <v>3</v>
      </c>
      <c r="F56" s="81">
        <f ca="1">'Detailed Analysis'!D43</f>
        <v>0</v>
      </c>
      <c r="G56" s="95"/>
    </row>
    <row r="57" spans="1:7">
      <c r="A57" s="17"/>
      <c r="B57" s="95"/>
      <c r="D57" s="81" t="str">
        <f ca="1">'Detailed Analysis'!B44</f>
        <v>Residential Benchmarking, Rating, and Disclosure Policies</v>
      </c>
      <c r="E57" s="81">
        <f ca="1">'Detailed Analysis'!C44</f>
        <v>3</v>
      </c>
      <c r="F57" s="81">
        <f ca="1">'Detailed Analysis'!D44</f>
        <v>0</v>
      </c>
      <c r="G57" s="95"/>
    </row>
    <row r="58" spans="1:7">
      <c r="A58" s="17"/>
      <c r="B58" s="95">
        <f>F58/E58</f>
        <v>0</v>
      </c>
      <c r="C58" s="34">
        <f>F58-E58</f>
        <v>-6</v>
      </c>
      <c r="D58" s="34" t="str">
        <f ca="1">'Detailed Analysis'!B45</f>
        <v>Comprehensive Energy Management Strategy in Buildings</v>
      </c>
      <c r="E58" s="34">
        <f ca="1">'Detailed Analysis'!C45</f>
        <v>6</v>
      </c>
      <c r="F58" s="34">
        <f ca="1">'Detailed Analysis'!D45</f>
        <v>0</v>
      </c>
      <c r="G58" s="95"/>
    </row>
    <row r="59" spans="1:7">
      <c r="A59" s="17"/>
      <c r="B59" s="95"/>
      <c r="D59" s="81" t="str">
        <f ca="1">'Detailed Analysis'!B46</f>
        <v>Community Building Energy Savings Target</v>
      </c>
      <c r="E59" s="81">
        <f ca="1">'Detailed Analysis'!C46</f>
        <v>1</v>
      </c>
      <c r="F59" s="81">
        <f ca="1">'Detailed Analysis'!D46</f>
        <v>0</v>
      </c>
      <c r="G59" s="95"/>
    </row>
    <row r="60" spans="1:7">
      <c r="A60" s="17"/>
      <c r="B60" s="95"/>
      <c r="D60" s="81" t="str">
        <f ca="1">'Detailed Analysis'!B47</f>
        <v>Residential Energy Code Advocacy</v>
      </c>
      <c r="E60" s="81">
        <f ca="1">'Detailed Analysis'!C47</f>
        <v>1.5</v>
      </c>
      <c r="F60" s="81">
        <f ca="1">'Detailed Analysis'!D47</f>
        <v>0</v>
      </c>
      <c r="G60" s="95"/>
    </row>
    <row r="61" spans="1:7">
      <c r="A61" s="17"/>
      <c r="B61" s="95"/>
      <c r="D61" s="81" t="str">
        <f ca="1">'Detailed Analysis'!B48</f>
        <v>Commercial Energy Code Advocacy</v>
      </c>
      <c r="E61" s="81">
        <f ca="1">'Detailed Analysis'!C48</f>
        <v>1.5</v>
      </c>
      <c r="F61" s="81">
        <f ca="1">'Detailed Analysis'!D48</f>
        <v>0</v>
      </c>
      <c r="G61" s="95"/>
    </row>
    <row r="62" spans="1:7">
      <c r="A62" s="17"/>
      <c r="B62" s="95"/>
      <c r="D62" s="81" t="str">
        <f ca="1">'Detailed Analysis'!B49</f>
        <v>Third-Party Compliance Programs</v>
      </c>
      <c r="E62" s="81">
        <f ca="1">'Detailed Analysis'!C49</f>
        <v>2</v>
      </c>
      <c r="F62" s="81">
        <f ca="1">'Detailed Analysis'!D49</f>
        <v>0</v>
      </c>
      <c r="G62" s="95"/>
    </row>
    <row r="63" spans="1:7">
      <c r="A63" s="17"/>
      <c r="B63" s="95" t="e">
        <f>F63/E63</f>
        <v>#N/A</v>
      </c>
      <c r="C63" s="34" t="e">
        <f>F63-E63</f>
        <v>#N/A</v>
      </c>
      <c r="D63" s="34" t="str">
        <f ca="1">'Detailed Analysis'!B50</f>
        <v>Incentives for More Efficient Buildings</v>
      </c>
      <c r="E63" s="34">
        <f ca="1">'Detailed Analysis'!C50</f>
        <v>9</v>
      </c>
      <c r="F63" s="34" t="e">
        <f ca="1">'Detailed Analysis'!D50</f>
        <v>#N/A</v>
      </c>
      <c r="G63" s="95"/>
    </row>
    <row r="64" spans="1:7">
      <c r="A64" s="17"/>
      <c r="B64" s="95"/>
      <c r="D64" s="81" t="str">
        <f ca="1">'Detailed Analysis'!B51</f>
        <v>Incentives or Finance Programs</v>
      </c>
      <c r="E64" s="81">
        <f ca="1">'Detailed Analysis'!C51</f>
        <v>3</v>
      </c>
      <c r="F64" s="81" t="e">
        <f ca="1">'Detailed Analysis'!D51</f>
        <v>#N/A</v>
      </c>
      <c r="G64" s="95"/>
    </row>
    <row r="65" spans="1:7">
      <c r="A65" s="17"/>
      <c r="B65" s="95"/>
      <c r="D65" s="81" t="str">
        <f ca="1">'Detailed Analysis'!B52</f>
        <v>Comprehensive Efficiency Services</v>
      </c>
      <c r="E65" s="81">
        <f ca="1">'Detailed Analysis'!C52</f>
        <v>2</v>
      </c>
      <c r="F65" s="81">
        <f ca="1">'Detailed Analysis'!D52</f>
        <v>2</v>
      </c>
      <c r="G65" s="95"/>
    </row>
    <row r="66" spans="1:7">
      <c r="A66" s="17"/>
      <c r="B66" s="95"/>
      <c r="D66" s="81" t="str">
        <f ca="1">'Detailed Analysis'!B53</f>
        <v>Above Code Requirements for Certain Private Buildings</v>
      </c>
      <c r="E66" s="81">
        <f ca="1">'Detailed Analysis'!C53</f>
        <v>2</v>
      </c>
      <c r="F66" s="81" t="str">
        <f ca="1">'Detailed Analysis'!D53</f>
        <v/>
      </c>
      <c r="G66" s="95"/>
    </row>
    <row r="67" spans="1:7">
      <c r="A67" s="17"/>
      <c r="B67" s="95"/>
      <c r="D67" s="81" t="str">
        <f ca="1">'Detailed Analysis'!B54</f>
        <v>Retrofit Requirements</v>
      </c>
      <c r="E67" s="81">
        <f ca="1">'Detailed Analysis'!C54</f>
        <v>2</v>
      </c>
      <c r="F67" s="81">
        <f ca="1">'Detailed Analysis'!D54</f>
        <v>0</v>
      </c>
      <c r="G67" s="95"/>
    </row>
    <row r="68" spans="1:7">
      <c r="A68" s="17">
        <f>E68</f>
        <v>18</v>
      </c>
      <c r="B68" s="95" t="e">
        <f>F68/E68</f>
        <v>#VALUE!</v>
      </c>
      <c r="C68" s="79" t="e">
        <f>F68-E68</f>
        <v>#VALUE!</v>
      </c>
      <c r="D68" s="79" t="str">
        <f ca="1">'Detailed Analysis'!B55</f>
        <v>Energy and Water Utility Policies &amp; Public Benefit Programs</v>
      </c>
      <c r="E68" s="79">
        <f ca="1">'Detailed Analysis'!C55</f>
        <v>18</v>
      </c>
      <c r="F68" s="79" t="e">
        <f ca="1">'Detailed Analysis'!D55</f>
        <v>#VALUE!</v>
      </c>
      <c r="G68" s="95"/>
    </row>
    <row r="69" spans="1:7">
      <c r="A69" s="17"/>
      <c r="B69" s="95" t="e">
        <f>F69/E69</f>
        <v>#VALUE!</v>
      </c>
      <c r="C69" s="34" t="e">
        <f>F69-E69</f>
        <v>#VALUE!</v>
      </c>
      <c r="D69" s="34" t="str">
        <f ca="1">'Detailed Analysis'!B56</f>
        <v>Getting Started Through Incentives</v>
      </c>
      <c r="E69" s="34">
        <f ca="1">'Detailed Analysis'!C56</f>
        <v>9.5</v>
      </c>
      <c r="F69" s="34" t="e">
        <f ca="1">'Detailed Analysis'!D56</f>
        <v>#VALUE!</v>
      </c>
      <c r="G69" s="95"/>
    </row>
    <row r="70" spans="1:7">
      <c r="A70" s="17"/>
      <c r="B70" s="95"/>
      <c r="D70" s="81" t="str">
        <f ca="1">'Detailed Analysis'!B57</f>
        <v xml:space="preserve">Electric Efficiency Spending </v>
      </c>
      <c r="E70" s="81">
        <f ca="1">'Detailed Analysis'!C57</f>
        <v>4</v>
      </c>
      <c r="F70" s="81">
        <f ca="1">'Detailed Analysis'!D57</f>
        <v>2.5</v>
      </c>
      <c r="G70" s="95"/>
    </row>
    <row r="71" spans="1:7">
      <c r="A71" s="17"/>
      <c r="B71" s="95"/>
      <c r="D71" s="81" t="str">
        <f ca="1">'Detailed Analysis'!B58</f>
        <v>Natural Gas Efficiency Spending</v>
      </c>
      <c r="E71" s="81">
        <f ca="1">'Detailed Analysis'!C58</f>
        <v>3</v>
      </c>
      <c r="F71" s="81" t="e">
        <f ca="1">'Detailed Analysis'!D58</f>
        <v>#VALUE!</v>
      </c>
      <c r="G71" s="95"/>
    </row>
    <row r="72" spans="1:7">
      <c r="A72" s="17"/>
      <c r="B72" s="95"/>
      <c r="D72" s="81" t="str">
        <f ca="1">'Detailed Analysis'!B59</f>
        <v xml:space="preserve">Electric Savings </v>
      </c>
      <c r="E72" s="81">
        <f ca="1">'Detailed Analysis'!C59</f>
        <v>2</v>
      </c>
      <c r="F72" s="81">
        <f ca="1">'Detailed Analysis'!D59</f>
        <v>2</v>
      </c>
      <c r="G72" s="95"/>
    </row>
    <row r="73" spans="1:7">
      <c r="A73" s="17"/>
      <c r="B73" s="95"/>
      <c r="D73" s="81" t="str">
        <f ca="1">'Detailed Analysis'!B60</f>
        <v>Green Stormwater Infrastructure</v>
      </c>
      <c r="E73" s="81">
        <f ca="1">'Detailed Analysis'!C60</f>
        <v>0.5</v>
      </c>
      <c r="F73" s="81" t="str">
        <f ca="1">'Detailed Analysis'!D60</f>
        <v/>
      </c>
      <c r="G73" s="95"/>
    </row>
    <row r="74" spans="1:7">
      <c r="A74" s="17"/>
      <c r="B74" s="95">
        <f>F74/E74</f>
        <v>0</v>
      </c>
      <c r="C74" s="34">
        <f>F74-E74</f>
        <v>-2</v>
      </c>
      <c r="D74" s="34" t="str">
        <f ca="1">'Detailed Analysis'!B61</f>
        <v>Accessible Energy Utility Data</v>
      </c>
      <c r="E74" s="34">
        <f ca="1">'Detailed Analysis'!C61</f>
        <v>2</v>
      </c>
      <c r="F74" s="34">
        <f ca="1">'Detailed Analysis'!D61</f>
        <v>0</v>
      </c>
      <c r="G74" s="95"/>
    </row>
    <row r="75" spans="1:7">
      <c r="A75" s="17"/>
      <c r="B75" s="95"/>
      <c r="D75" s="81" t="str">
        <f ca="1">'Detailed Analysis'!B62</f>
        <v>Energy Data Provision</v>
      </c>
      <c r="E75" s="81">
        <f ca="1">'Detailed Analysis'!C62</f>
        <v>2</v>
      </c>
      <c r="F75" s="81" t="str">
        <f ca="1">'Detailed Analysis'!D62</f>
        <v/>
      </c>
      <c r="G75" s="95"/>
    </row>
    <row r="76" spans="1:7">
      <c r="A76" s="17"/>
      <c r="B76" s="95" t="e">
        <f>F76/E76</f>
        <v>#VALUE!</v>
      </c>
      <c r="C76" s="34" t="e">
        <f>F76-E76</f>
        <v>#VALUE!</v>
      </c>
      <c r="D76" s="34" t="str">
        <f ca="1">'Detailed Analysis'!B63</f>
        <v>Comprehensive Energy Management at Utilities</v>
      </c>
      <c r="E76" s="34">
        <f ca="1">'Detailed Analysis'!C63</f>
        <v>6.5</v>
      </c>
      <c r="F76" s="34" t="e">
        <f ca="1">'Detailed Analysis'!D63</f>
        <v>#VALUE!</v>
      </c>
      <c r="G76" s="95"/>
    </row>
    <row r="77" spans="1:7">
      <c r="A77" s="17"/>
      <c r="B77" s="95"/>
      <c r="D77" s="81" t="str">
        <f ca="1">'Detailed Analysis'!B64</f>
        <v>EE Targets and Funding Agreements</v>
      </c>
      <c r="E77" s="81">
        <f ca="1">'Detailed Analysis'!C64</f>
        <v>0</v>
      </c>
      <c r="F77" s="81">
        <f ca="1">'Detailed Analysis'!N64</f>
        <v>0</v>
      </c>
      <c r="G77" s="95"/>
    </row>
    <row r="78" spans="1:7">
      <c r="A78" s="17"/>
      <c r="B78" s="95"/>
      <c r="D78" s="81" t="str">
        <f ca="1">'Detailed Analysis'!B65</f>
        <v>Water Efficiency</v>
      </c>
      <c r="E78" s="81">
        <f ca="1">'Detailed Analysis'!C65</f>
        <v>2</v>
      </c>
      <c r="F78" s="81" t="e">
        <f ca="1">'Detailed Analysis'!D65</f>
        <v>#VALUE!</v>
      </c>
      <c r="G78" s="95"/>
    </row>
    <row r="79" spans="1:7">
      <c r="A79" s="17"/>
      <c r="B79" s="95"/>
      <c r="D79" s="81" t="str">
        <f ca="1">'Detailed Analysis'!B66</f>
        <v>Efficient Stormwater Management</v>
      </c>
      <c r="E79" s="81">
        <f ca="1">'Detailed Analysis'!C66</f>
        <v>0.5</v>
      </c>
      <c r="F79" s="81" t="str">
        <f ca="1">'Detailed Analysis'!D66</f>
        <v/>
      </c>
      <c r="G79" s="95"/>
    </row>
    <row r="80" spans="1:7">
      <c r="A80" s="17"/>
      <c r="B80" s="95"/>
      <c r="D80" s="81" t="str">
        <f ca="1">'Detailed Analysis'!B67</f>
        <v>Energy Efficiency in Water Services</v>
      </c>
      <c r="E80" s="81">
        <f ca="1">'Detailed Analysis'!C67</f>
        <v>2</v>
      </c>
      <c r="F80" s="81">
        <f ca="1">'Detailed Analysis'!D67</f>
        <v>0</v>
      </c>
      <c r="G80" s="95"/>
    </row>
    <row r="81" spans="1:7">
      <c r="A81" s="17">
        <f>E81</f>
        <v>28</v>
      </c>
      <c r="B81" s="95" t="e">
        <f>F81/E81</f>
        <v>#VALUE!</v>
      </c>
      <c r="C81" s="79" t="e">
        <f>F81-E81</f>
        <v>#VALUE!</v>
      </c>
      <c r="D81" s="79" t="str">
        <f ca="1">'Detailed Analysis'!B68</f>
        <v>Transportation Policies</v>
      </c>
      <c r="E81" s="79">
        <f ca="1">'Detailed Analysis'!C68</f>
        <v>28</v>
      </c>
      <c r="F81" s="79" t="e">
        <f ca="1">'Detailed Analysis'!D68</f>
        <v>#VALUE!</v>
      </c>
      <c r="G81" s="95"/>
    </row>
    <row r="82" spans="1:7">
      <c r="A82" s="17"/>
      <c r="B82" s="95">
        <f>F82/E82</f>
        <v>0.3888888888888889</v>
      </c>
      <c r="C82" s="34">
        <f>F82-E82</f>
        <v>-5.5</v>
      </c>
      <c r="D82" s="34" t="str">
        <f ca="1">'Detailed Analysis'!B69</f>
        <v xml:space="preserve">Getting Started </v>
      </c>
      <c r="E82" s="34">
        <f ca="1">'Detailed Analysis'!C69</f>
        <v>9</v>
      </c>
      <c r="F82" s="34">
        <f ca="1">'Detailed Analysis'!D69</f>
        <v>3.5</v>
      </c>
      <c r="G82" s="95"/>
    </row>
    <row r="83" spans="1:7">
      <c r="A83" s="17"/>
      <c r="B83" s="95"/>
      <c r="D83" s="81" t="str">
        <f ca="1">'Detailed Analysis'!B70</f>
        <v>Complete Streets</v>
      </c>
      <c r="E83" s="81">
        <f ca="1">'Detailed Analysis'!C70</f>
        <v>2</v>
      </c>
      <c r="F83" s="81">
        <f ca="1">'Detailed Analysis'!D70</f>
        <v>0.5</v>
      </c>
      <c r="G83" s="95"/>
    </row>
    <row r="84" spans="1:7">
      <c r="A84" s="17"/>
      <c r="B84" s="95"/>
      <c r="D84" s="81" t="str">
        <f ca="1">'Detailed Analysis'!B71</f>
        <v>Car and Bike Sharing</v>
      </c>
      <c r="E84" s="81">
        <f ca="1">'Detailed Analysis'!C71</f>
        <v>2</v>
      </c>
      <c r="F84" s="81">
        <f ca="1">'Detailed Analysis'!D71</f>
        <v>2</v>
      </c>
      <c r="G84" s="95"/>
    </row>
    <row r="85" spans="1:7">
      <c r="A85" s="17"/>
      <c r="B85" s="95"/>
      <c r="D85" s="81" t="str">
        <f ca="1">'Detailed Analysis'!B72</f>
        <v>Transportation Funding</v>
      </c>
      <c r="E85" s="81">
        <f ca="1">'Detailed Analysis'!C72</f>
        <v>4</v>
      </c>
      <c r="F85" s="81">
        <f ca="1">'Detailed Analysis'!D72</f>
        <v>1</v>
      </c>
      <c r="G85" s="95"/>
    </row>
    <row r="86" spans="1:7">
      <c r="A86" s="17"/>
      <c r="B86" s="95"/>
      <c r="D86" s="81" t="str">
        <f ca="1">'Detailed Analysis'!B73</f>
        <v>Transportation Partnerships</v>
      </c>
      <c r="E86" s="81">
        <f ca="1">'Detailed Analysis'!C73</f>
        <v>1</v>
      </c>
      <c r="F86" s="81" t="str">
        <f ca="1">'Detailed Analysis'!D73</f>
        <v/>
      </c>
      <c r="G86" s="95"/>
    </row>
    <row r="87" spans="1:7">
      <c r="A87" s="17"/>
      <c r="B87" s="95">
        <f>F87/E87</f>
        <v>0</v>
      </c>
      <c r="C87" s="34">
        <f>F87-E87</f>
        <v>-2.5</v>
      </c>
      <c r="D87" s="34" t="str">
        <f ca="1">'Detailed Analysis'!B74</f>
        <v>Improve Access to Actionable Information</v>
      </c>
      <c r="E87" s="34">
        <f ca="1">'Detailed Analysis'!C74</f>
        <v>2.5</v>
      </c>
      <c r="F87" s="34">
        <f ca="1">'Detailed Analysis'!D74</f>
        <v>0</v>
      </c>
      <c r="G87" s="95"/>
    </row>
    <row r="88" spans="1:7">
      <c r="A88" s="17"/>
      <c r="B88" s="95"/>
      <c r="D88" s="81" t="str">
        <f ca="1">'Detailed Analysis'!B75</f>
        <v>Location Efficiency Information Policies</v>
      </c>
      <c r="E88" s="81">
        <f ca="1">'Detailed Analysis'!C75</f>
        <v>0.5</v>
      </c>
      <c r="F88" s="81" t="str">
        <f ca="1">'Detailed Analysis'!D75</f>
        <v/>
      </c>
      <c r="G88" s="95"/>
    </row>
    <row r="89" spans="1:7">
      <c r="A89" s="17"/>
      <c r="B89" s="95"/>
      <c r="D89" s="81" t="str">
        <f ca="1">'Detailed Analysis'!B76</f>
        <v>Parking Requirements</v>
      </c>
      <c r="E89" s="81">
        <f ca="1">'Detailed Analysis'!C76</f>
        <v>2</v>
      </c>
      <c r="F89" s="81" t="str">
        <f ca="1">'Detailed Analysis'!D76</f>
        <v/>
      </c>
      <c r="G89" s="95"/>
    </row>
    <row r="90" spans="1:7">
      <c r="A90" s="17"/>
      <c r="B90" s="95" t="e">
        <f>F90/E90</f>
        <v>#VALUE!</v>
      </c>
      <c r="C90" s="34" t="e">
        <f>F90-E90</f>
        <v>#VALUE!</v>
      </c>
      <c r="D90" s="34" t="str">
        <f ca="1">'Detailed Analysis'!B77</f>
        <v>Comprehensive Energy Strategy</v>
      </c>
      <c r="E90" s="34">
        <f ca="1">'Detailed Analysis'!C77</f>
        <v>11.5</v>
      </c>
      <c r="F90" s="34" t="e">
        <f ca="1">'Detailed Analysis'!D77</f>
        <v>#VALUE!</v>
      </c>
      <c r="G90" s="95"/>
    </row>
    <row r="91" spans="1:7">
      <c r="A91" s="17"/>
      <c r="B91" s="95"/>
      <c r="D91" s="81" t="str">
        <f ca="1">'Detailed Analysis'!B78</f>
        <v xml:space="preserve">Location-Efficient Zoning </v>
      </c>
      <c r="E91" s="81">
        <f ca="1">'Detailed Analysis'!C78</f>
        <v>2</v>
      </c>
      <c r="F91" s="81">
        <f ca="1">'Detailed Analysis'!D78</f>
        <v>0</v>
      </c>
      <c r="G91" s="95"/>
    </row>
    <row r="92" spans="1:7">
      <c r="A92" s="17"/>
      <c r="B92" s="95"/>
      <c r="D92" s="81" t="str">
        <f ca="1">'Detailed Analysis'!B79</f>
        <v>Integration of Transportation and Land Use Planning</v>
      </c>
      <c r="E92" s="81">
        <f ca="1">'Detailed Analysis'!C79</f>
        <v>4</v>
      </c>
      <c r="F92" s="81" t="e">
        <f ca="1">'Detailed Analysis'!D79</f>
        <v>#VALUE!</v>
      </c>
      <c r="G92" s="95"/>
    </row>
    <row r="93" spans="1:7">
      <c r="A93" s="17"/>
      <c r="B93" s="95"/>
      <c r="D93" s="81" t="str">
        <f ca="1">'Detailed Analysis'!B80</f>
        <v>Access to Transit Services</v>
      </c>
      <c r="E93" s="81">
        <f ca="1">'Detailed Analysis'!C80</f>
        <v>2</v>
      </c>
      <c r="F93" s="81">
        <f ca="1">'Detailed Analysis'!D80</f>
        <v>1</v>
      </c>
      <c r="G93" s="95"/>
    </row>
    <row r="94" spans="1:7">
      <c r="A94" s="17"/>
      <c r="B94" s="95"/>
      <c r="D94" s="81" t="str">
        <f ca="1">'Detailed Analysis'!B81</f>
        <v>Efficient Driving Behavior</v>
      </c>
      <c r="E94" s="81">
        <f ca="1">'Detailed Analysis'!C81</f>
        <v>0.5</v>
      </c>
      <c r="F94" s="81">
        <f ca="1">'Detailed Analysis'!D81</f>
        <v>0.5</v>
      </c>
      <c r="G94" s="95"/>
    </row>
    <row r="95" spans="1:7">
      <c r="A95" s="17"/>
      <c r="B95" s="95"/>
      <c r="D95" s="81" t="str">
        <f ca="1">'Detailed Analysis'!B82</f>
        <v>Intermodal Freight Facilities</v>
      </c>
      <c r="E95" s="81">
        <f ca="1">'Detailed Analysis'!C82</f>
        <v>3</v>
      </c>
      <c r="F95" s="81">
        <f ca="1">'Detailed Analysis'!D82</f>
        <v>0</v>
      </c>
      <c r="G95" s="95"/>
    </row>
    <row r="96" spans="1:7">
      <c r="A96" s="17"/>
      <c r="B96" s="95">
        <f>F96/E96</f>
        <v>0.2</v>
      </c>
      <c r="C96" s="34">
        <f>F96-E96</f>
        <v>-4</v>
      </c>
      <c r="D96" s="34" t="str">
        <f ca="1">'Detailed Analysis'!B83</f>
        <v>Incentives</v>
      </c>
      <c r="E96" s="34">
        <f ca="1">'Detailed Analysis'!C83</f>
        <v>5</v>
      </c>
      <c r="F96" s="34">
        <f ca="1">'Detailed Analysis'!D83</f>
        <v>1</v>
      </c>
      <c r="G96" s="95"/>
    </row>
    <row r="97" spans="1:7">
      <c r="A97" s="17"/>
      <c r="B97" s="95"/>
      <c r="D97" s="81" t="str">
        <f ca="1">'Detailed Analysis'!B84</f>
        <v>Incentives to Encourage Creation of Mixed-Use Communities</v>
      </c>
      <c r="E97" s="81">
        <f ca="1">'Detailed Analysis'!C84</f>
        <v>1.5</v>
      </c>
      <c r="F97" s="81">
        <f ca="1">'Detailed Analysis'!D84</f>
        <v>0</v>
      </c>
      <c r="G97" s="95"/>
    </row>
    <row r="98" spans="1:7">
      <c r="A98" s="17"/>
      <c r="B98" s="95"/>
      <c r="D98" s="81" t="str">
        <f ca="1">'Detailed Analysis'!B85</f>
        <v>Transportation Demand Management Programs</v>
      </c>
      <c r="E98" s="81">
        <f ca="1">'Detailed Analysis'!C85</f>
        <v>2</v>
      </c>
      <c r="F98" s="81">
        <f ca="1">'Detailed Analysis'!D85</f>
        <v>1</v>
      </c>
      <c r="G98" s="95"/>
    </row>
    <row r="99" spans="1:7">
      <c r="A99" s="17"/>
      <c r="B99" s="95"/>
      <c r="D99" s="81" t="str">
        <f ca="1">'Detailed Analysis'!B86</f>
        <v xml:space="preserve">Vehicle Purchase Incentives </v>
      </c>
      <c r="E99" s="81">
        <f ca="1">'Detailed Analysis'!C86</f>
        <v>1</v>
      </c>
      <c r="F99" s="81">
        <f ca="1">'Detailed Analysis'!D86</f>
        <v>0</v>
      </c>
      <c r="G99" s="95"/>
    </row>
    <row r="100" spans="1:7">
      <c r="A100" s="17"/>
      <c r="B100" s="95"/>
      <c r="D100" s="81" t="str">
        <f ca="1">'Detailed Analysis'!B87</f>
        <v xml:space="preserve">Vehicle Charging Infrastructure Incentives </v>
      </c>
      <c r="E100" s="81">
        <f ca="1">'Detailed Analysis'!C87</f>
        <v>0.5</v>
      </c>
      <c r="F100" s="81" t="str">
        <f ca="1">'Detailed Analysis'!D87</f>
        <v/>
      </c>
      <c r="G100" s="95"/>
    </row>
    <row r="103" spans="1:7">
      <c r="B103" s="80" t="s">
        <v>247</v>
      </c>
      <c r="C103" t="e">
        <f>D11</f>
        <v>#N/A</v>
      </c>
      <c r="D103" t="s">
        <v>249</v>
      </c>
    </row>
    <row r="104" spans="1:7">
      <c r="C104" t="e">
        <f>IF(C103=D18,MIN(B19:B36),IF(C103=D37,MIN(B38:B47),IF(C103=D48,MIN(B49:B67),IF(C103=D68,MIN(B69:B80),IF(C103=D81,MIN(B82:B100))))))</f>
        <v>#N/A</v>
      </c>
      <c r="D104" t="s">
        <v>250</v>
      </c>
    </row>
    <row r="105" spans="1:7">
      <c r="C105" t="e">
        <f>IF(AND(C103=D18,C104=0),MIN(C19:C36),IF(AND(C103=D37,C104=0),MIN(C38:C47),IF(AND(C103=D48,C104=0),MIN(C49:C67),IF(AND(C103=D68,C104=0),MIN(C69:C80),IF(AND(C103=D81,C104=0),MIN(C82:C100))))))</f>
        <v>#N/A</v>
      </c>
    </row>
    <row r="106" spans="1:7">
      <c r="D106" t="e">
        <f>IF(C104=0,VLOOKUP(C105,C18:F100,2,FALSE),VLOOKUP(C104,B18:D100,3,FALSE))</f>
        <v>#N/A</v>
      </c>
    </row>
    <row r="108" spans="1:7">
      <c r="B108" s="80" t="s">
        <v>183</v>
      </c>
      <c r="C108" s="95" t="e">
        <f>C14</f>
        <v>#N/A</v>
      </c>
      <c r="D108" t="s">
        <v>202</v>
      </c>
    </row>
    <row r="109" spans="1:7">
      <c r="C109" s="95" t="e">
        <f>IF(C108=B18,MAX(B19:B36),IF(C108=B37,MAX(B38:B47),IF(C108=B48,MAX(B49:B67),IF(C108=B68,MAX(B69:B80),IF(C108=B81,MAX(B82:B97))))))</f>
        <v>#N/A</v>
      </c>
      <c r="D109" t="s">
        <v>245</v>
      </c>
    </row>
    <row r="110" spans="1:7">
      <c r="D110" t="e">
        <f>VLOOKUP(C109,B18:F100,3,FALSE)</f>
        <v>#N/A</v>
      </c>
    </row>
    <row r="112" spans="1:7">
      <c r="C112" s="95" t="e">
        <f>IF(C108=B18,MIN(B19:B36),IF(C108=B37,MIN(B38:B47),IF(C108=B48,MIN(B49:B67),IF(C108=B68,MIN(B69:B80),IF(C108=B81,MIN(B82:B100))))))</f>
        <v>#N/A</v>
      </c>
      <c r="D112" t="s">
        <v>246</v>
      </c>
    </row>
    <row r="113" spans="4:4">
      <c r="D113" t="e">
        <f>VLOOKUP(C112,B18:F100,3,FALSE)</f>
        <v>#N/A</v>
      </c>
    </row>
  </sheetData>
  <mergeCells count="1">
    <mergeCell ref="D2:G2"/>
  </mergeCells>
  <phoneticPr fontId="43"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91"/>
  <dimension ref="A2:N87"/>
  <sheetViews>
    <sheetView zoomScale="75" zoomScaleNormal="75" workbookViewId="0">
      <selection activeCell="P8" sqref="P8"/>
    </sheetView>
  </sheetViews>
  <sheetFormatPr defaultRowHeight="15" outlineLevelRow="1"/>
  <cols>
    <col min="1" max="1" width="5" customWidth="1"/>
    <col min="2" max="2" width="65.85546875" customWidth="1"/>
    <col min="3" max="3" width="10.140625" bestFit="1" customWidth="1"/>
    <col min="4" max="4" width="12.85546875" customWidth="1"/>
    <col min="5" max="5" width="6.85546875" customWidth="1"/>
    <col min="6" max="6" width="12.5703125" customWidth="1"/>
    <col min="7" max="7" width="11.5703125" bestFit="1" customWidth="1"/>
    <col min="8" max="8" width="13.7109375" bestFit="1" customWidth="1"/>
    <col min="9" max="9" width="12" bestFit="1" customWidth="1"/>
    <col min="10" max="11" width="12.7109375" bestFit="1" customWidth="1"/>
    <col min="12" max="12" width="12.5703125" bestFit="1" customWidth="1"/>
    <col min="13" max="13" width="12.28515625" bestFit="1" customWidth="1"/>
    <col min="14" max="14" width="16.5703125" bestFit="1" customWidth="1"/>
  </cols>
  <sheetData>
    <row r="2" spans="1:14" ht="15" customHeight="1">
      <c r="B2" s="327" t="s">
        <v>470</v>
      </c>
      <c r="C2" s="328"/>
      <c r="D2" s="328"/>
      <c r="E2" s="328"/>
      <c r="F2" s="328"/>
      <c r="G2" s="328"/>
      <c r="H2" s="328"/>
      <c r="I2" s="328"/>
      <c r="J2" s="328"/>
      <c r="K2" s="328"/>
      <c r="L2" s="328"/>
      <c r="M2" s="328"/>
      <c r="N2" s="328"/>
    </row>
    <row r="3" spans="1:14" s="9" customFormat="1" ht="30">
      <c r="B3" s="208"/>
      <c r="C3" s="208" t="s">
        <v>355</v>
      </c>
      <c r="D3" s="209" t="str">
        <f ca="1">Intro!D18</f>
        <v>Burlington</v>
      </c>
      <c r="E3" s="329"/>
      <c r="F3" s="211" t="s">
        <v>376</v>
      </c>
      <c r="G3" s="209" t="s">
        <v>377</v>
      </c>
      <c r="H3" s="209" t="s">
        <v>378</v>
      </c>
      <c r="I3" s="209" t="s">
        <v>379</v>
      </c>
      <c r="J3" s="209" t="s">
        <v>380</v>
      </c>
      <c r="K3" s="209" t="s">
        <v>381</v>
      </c>
      <c r="L3" s="209" t="s">
        <v>382</v>
      </c>
      <c r="M3" s="209" t="s">
        <v>383</v>
      </c>
      <c r="N3" s="241" t="s">
        <v>782</v>
      </c>
    </row>
    <row r="4" spans="1:14">
      <c r="B4" s="210" t="s">
        <v>240</v>
      </c>
      <c r="C4" s="205">
        <f>C68+C55+C35+C24+C5</f>
        <v>100</v>
      </c>
      <c r="D4" s="205" t="e">
        <f>D68+D55+D35+D24+D5</f>
        <v>#VALUE!</v>
      </c>
      <c r="E4" s="330"/>
      <c r="F4" s="248" t="e">
        <f t="shared" ref="F4:M4" si="0">F68+F55+F35+F24+F5</f>
        <v>#N/A</v>
      </c>
      <c r="G4" s="248" t="e">
        <f t="shared" si="0"/>
        <v>#N/A</v>
      </c>
      <c r="H4" s="248" t="e">
        <f t="shared" si="0"/>
        <v>#N/A</v>
      </c>
      <c r="I4" s="248" t="e">
        <f t="shared" si="0"/>
        <v>#N/A</v>
      </c>
      <c r="J4" s="248" t="e">
        <f t="shared" si="0"/>
        <v>#N/A</v>
      </c>
      <c r="K4" s="248" t="e">
        <f t="shared" si="0"/>
        <v>#N/A</v>
      </c>
      <c r="L4" s="248" t="e">
        <f t="shared" si="0"/>
        <v>#N/A</v>
      </c>
      <c r="M4" s="248" t="e">
        <f t="shared" si="0"/>
        <v>#N/A</v>
      </c>
      <c r="N4" s="248">
        <f ca="1">HLOOKUP($N$3,'City Scorecard Scores'!$B$1:$CZ$87,87,FALSE)</f>
        <v>42.5</v>
      </c>
    </row>
    <row r="5" spans="1:14" s="9" customFormat="1">
      <c r="B5" s="210" t="s">
        <v>469</v>
      </c>
      <c r="C5" s="205">
        <f>C6+C12+C15</f>
        <v>15</v>
      </c>
      <c r="D5" s="205">
        <f>D6+D12+D15</f>
        <v>1.5</v>
      </c>
      <c r="E5" s="330"/>
      <c r="F5" s="248">
        <f>F6+F12+F15</f>
        <v>6</v>
      </c>
      <c r="G5" s="248">
        <f t="shared" ref="G5:M5" si="1">G6+G12+G15</f>
        <v>6.5</v>
      </c>
      <c r="H5" s="248">
        <f t="shared" si="1"/>
        <v>1.5</v>
      </c>
      <c r="I5" s="248">
        <f t="shared" si="1"/>
        <v>2.5</v>
      </c>
      <c r="J5" s="248">
        <f t="shared" si="1"/>
        <v>3.5</v>
      </c>
      <c r="K5" s="248">
        <f t="shared" si="1"/>
        <v>1</v>
      </c>
      <c r="L5" s="248">
        <f t="shared" si="1"/>
        <v>2</v>
      </c>
      <c r="M5" s="248">
        <f t="shared" si="1"/>
        <v>3.5</v>
      </c>
      <c r="N5" s="249">
        <f ca="1">HLOOKUP($N$3,'City Scorecard Scores'!$B$1:$CZ$87,3,FALSE)</f>
        <v>6.75</v>
      </c>
    </row>
    <row r="6" spans="1:14" s="9" customFormat="1">
      <c r="B6" s="38" t="str">
        <f ca="1">'Local Government'!B4</f>
        <v>Initial Energy Management Policies for Government Operations</v>
      </c>
      <c r="C6" s="86">
        <v>4</v>
      </c>
      <c r="D6" s="86">
        <f ca="1">SUM(D7:D11)</f>
        <v>0.5</v>
      </c>
      <c r="E6" s="330"/>
      <c r="F6" s="250">
        <f ca="1">F7+F8+F9+F10+F11</f>
        <v>1.5</v>
      </c>
      <c r="G6" s="250">
        <f t="shared" ref="G6:N6" si="2">G7+G8+G9+G10+G11</f>
        <v>2</v>
      </c>
      <c r="H6" s="250">
        <f t="shared" si="2"/>
        <v>0.5</v>
      </c>
      <c r="I6" s="250">
        <f t="shared" si="2"/>
        <v>0.5</v>
      </c>
      <c r="J6" s="250">
        <f t="shared" si="2"/>
        <v>1.5</v>
      </c>
      <c r="K6" s="250">
        <f t="shared" si="2"/>
        <v>0.5</v>
      </c>
      <c r="L6" s="250">
        <f t="shared" si="2"/>
        <v>1.5</v>
      </c>
      <c r="M6" s="250">
        <f t="shared" si="2"/>
        <v>1.5</v>
      </c>
      <c r="N6" s="250">
        <f t="shared" si="2"/>
        <v>1</v>
      </c>
    </row>
    <row r="7" spans="1:14" s="9" customFormat="1" outlineLevel="1">
      <c r="B7" s="11" t="str">
        <f ca="1">'Local Government'!A7</f>
        <v>Dedicated Staff</v>
      </c>
      <c r="C7" s="71">
        <v>0.5</v>
      </c>
      <c r="D7" s="71" t="str">
        <f ca="1">'Local Government'!E7</f>
        <v/>
      </c>
      <c r="E7" s="330"/>
      <c r="F7" s="251">
        <f ca="1">IF('Local Government'!$E$7="",0,'Peer City Scores'!C5)</f>
        <v>0</v>
      </c>
      <c r="G7" s="251">
        <f ca="1">IF('Local Government'!$E$7="",0,'Peer City Scores'!D5)</f>
        <v>0</v>
      </c>
      <c r="H7" s="251">
        <f ca="1">IF('Local Government'!$E$7="",0,'Peer City Scores'!E5)</f>
        <v>0</v>
      </c>
      <c r="I7" s="251">
        <f ca="1">IF('Local Government'!$E$7="",0,'Peer City Scores'!F5)</f>
        <v>0</v>
      </c>
      <c r="J7" s="251">
        <f ca="1">IF('Local Government'!$E$7="",0,'Peer City Scores'!G5)</f>
        <v>0</v>
      </c>
      <c r="K7" s="251">
        <f ca="1">IF('Local Government'!$E$7="",0,'Peer City Scores'!H5)</f>
        <v>0</v>
      </c>
      <c r="L7" s="251">
        <f ca="1">IF('Local Government'!$E$7="",0,'Peer City Scores'!I5)</f>
        <v>0</v>
      </c>
      <c r="M7" s="251">
        <f ca="1">IF('Local Government'!$E$7="",0,'Peer City Scores'!J5)</f>
        <v>0</v>
      </c>
      <c r="N7" s="252">
        <f ca="1">HLOOKUP($N$3,'City Scorecard Scores'!$B$1:$CZ$87,5,FALSE)</f>
        <v>0.5</v>
      </c>
    </row>
    <row r="8" spans="1:14" s="9" customFormat="1" outlineLevel="1">
      <c r="B8" s="11" t="str">
        <f ca="1">'Local Government'!A8</f>
        <v>Public Lighting</v>
      </c>
      <c r="C8" s="71">
        <v>1</v>
      </c>
      <c r="D8" s="71" t="str">
        <f ca="1">IF('Local Government'!E8="","",IF('Local Government'!E9="","",('Local Government'!E8+'Local Government'!E9)))</f>
        <v/>
      </c>
      <c r="E8" s="330"/>
      <c r="F8" s="251">
        <f ca="1">IF(OR('Local Government'!$E$8="",'Local Government'!$E$9=""),0,'Peer City Scores'!C6)</f>
        <v>0</v>
      </c>
      <c r="G8" s="251">
        <f ca="1">IF(OR('Local Government'!$E$8="",'Local Government'!$E$9=""),0,'Peer City Scores'!D6)</f>
        <v>0</v>
      </c>
      <c r="H8" s="251">
        <f ca="1">IF(OR('Local Government'!$E$8="",'Local Government'!$E$9=""),0,'Peer City Scores'!E6)</f>
        <v>0</v>
      </c>
      <c r="I8" s="251">
        <f ca="1">IF(OR('Local Government'!$E$8="",'Local Government'!$E$9=""),0,'Peer City Scores'!F6)</f>
        <v>0</v>
      </c>
      <c r="J8" s="251">
        <f ca="1">IF(OR('Local Government'!$E$8="",'Local Government'!$E$9=""),0,'Peer City Scores'!G6)</f>
        <v>0</v>
      </c>
      <c r="K8" s="251">
        <f ca="1">IF(OR('Local Government'!$E$8="",'Local Government'!$E$9=""),0,'Peer City Scores'!H6)</f>
        <v>0</v>
      </c>
      <c r="L8" s="251">
        <f ca="1">IF(OR('Local Government'!$E$8="",'Local Government'!$E$9=""),0,'Peer City Scores'!I6)</f>
        <v>0</v>
      </c>
      <c r="M8" s="251">
        <f ca="1">IF(OR('Local Government'!$E$8="",'Local Government'!$E$9=""),0,'Peer City Scores'!J6)</f>
        <v>0</v>
      </c>
      <c r="N8" s="252">
        <f ca="1">HLOOKUP($N$3,'City Scorecard Scores'!$B$1:$CZ$87,6,FALSE)</f>
        <v>0.5</v>
      </c>
    </row>
    <row r="9" spans="1:14" s="9" customFormat="1" outlineLevel="1">
      <c r="B9" s="11" t="str">
        <f ca="1">'Local Government'!A10</f>
        <v>Energy-Efficient Procurement Policy</v>
      </c>
      <c r="C9" s="71">
        <v>0.5</v>
      </c>
      <c r="D9" s="71">
        <f ca="1">'Local Government'!E10</f>
        <v>0.5</v>
      </c>
      <c r="E9" s="330"/>
      <c r="F9" s="251">
        <f ca="1">IF('Local Government'!$E$10="",0,'Peer City Scores'!C7)</f>
        <v>0.5</v>
      </c>
      <c r="G9" s="251">
        <f ca="1">IF('Local Government'!$E$10="",0,'Peer City Scores'!D7)</f>
        <v>0.5</v>
      </c>
      <c r="H9" s="251">
        <f ca="1">IF('Local Government'!$E$10="",0,'Peer City Scores'!E7)</f>
        <v>0.5</v>
      </c>
      <c r="I9" s="251">
        <f ca="1">IF('Local Government'!$E$10="",0,'Peer City Scores'!F7)</f>
        <v>0</v>
      </c>
      <c r="J9" s="251">
        <f ca="1">IF('Local Government'!$E$10="",0,'Peer City Scores'!G7)</f>
        <v>0.5</v>
      </c>
      <c r="K9" s="251">
        <f ca="1">IF('Local Government'!$E$10="",0,'Peer City Scores'!H7)</f>
        <v>0</v>
      </c>
      <c r="L9" s="251">
        <f ca="1">IF('Local Government'!$E$10="",0,'Peer City Scores'!I7)</f>
        <v>0.5</v>
      </c>
      <c r="M9" s="251">
        <f ca="1">IF('Local Government'!$E$10="",0,'Peer City Scores'!J7)</f>
        <v>0.5</v>
      </c>
      <c r="N9" s="252">
        <f ca="1">HLOOKUP($N$3,'City Scorecard Scores'!$B$1:$CZ$87,7,FALSE)</f>
        <v>0</v>
      </c>
    </row>
    <row r="10" spans="1:14" s="9" customFormat="1" outlineLevel="1">
      <c r="B10" s="11" t="str">
        <f ca="1">'Local Government'!A11</f>
        <v>Maintenance in Capital Budget</v>
      </c>
      <c r="C10" s="71">
        <v>1</v>
      </c>
      <c r="D10" s="71">
        <f ca="1">'Local Government'!E11</f>
        <v>0</v>
      </c>
      <c r="E10" s="330"/>
      <c r="F10" s="251">
        <f ca="1">IF('Local Government'!$E$11="",0,'Peer City Scores'!C8)</f>
        <v>0</v>
      </c>
      <c r="G10" s="251">
        <f ca="1">IF('Local Government'!$E$11="",0,'Peer City Scores'!D8)</f>
        <v>0.5</v>
      </c>
      <c r="H10" s="251">
        <f ca="1">IF('Local Government'!$E$11="",0,'Peer City Scores'!E8)</f>
        <v>0</v>
      </c>
      <c r="I10" s="251">
        <f ca="1">IF('Local Government'!$E$11="",0,'Peer City Scores'!F8)</f>
        <v>0</v>
      </c>
      <c r="J10" s="251">
        <f ca="1">IF('Local Government'!$E$11="",0,'Peer City Scores'!G8)</f>
        <v>0.5</v>
      </c>
      <c r="K10" s="251">
        <f ca="1">IF('Local Government'!$E$11="",0,'Peer City Scores'!H8)</f>
        <v>0</v>
      </c>
      <c r="L10" s="251">
        <f ca="1">IF('Local Government'!$E$11="",0,'Peer City Scores'!I8)</f>
        <v>0</v>
      </c>
      <c r="M10" s="251">
        <f ca="1">IF('Local Government'!$E$11="",0,'Peer City Scores'!J8)</f>
        <v>0</v>
      </c>
      <c r="N10" s="252">
        <f ca="1">HLOOKUP($N$3,'City Scorecard Scores'!$B$1:$CZ$87,8,FALSE)</f>
        <v>0</v>
      </c>
    </row>
    <row r="11" spans="1:14" s="9" customFormat="1" outlineLevel="1">
      <c r="A11" s="69"/>
      <c r="B11" s="11" t="str">
        <f ca="1">'Local Government'!A12</f>
        <v>Public Workforce</v>
      </c>
      <c r="C11" s="71">
        <v>1</v>
      </c>
      <c r="D11" s="71" t="str">
        <f ca="1">IF(OR('Local Government'!E12="",'Local Government'!E13=""),"",'Local Government'!E12+'Local Government'!E13)</f>
        <v/>
      </c>
      <c r="E11" s="330"/>
      <c r="F11" s="251">
        <f ca="1">IF('Local Government'!$E$11="",0,'Peer City Scores'!C9)</f>
        <v>1</v>
      </c>
      <c r="G11" s="251">
        <f ca="1">IF('Local Government'!$E$11="",0,'Peer City Scores'!D9)</f>
        <v>1</v>
      </c>
      <c r="H11" s="251">
        <f ca="1">IF('Local Government'!$E$11="",0,'Peer City Scores'!E9)</f>
        <v>0</v>
      </c>
      <c r="I11" s="251">
        <f ca="1">IF('Local Government'!$E$11="",0,'Peer City Scores'!F9)</f>
        <v>0.5</v>
      </c>
      <c r="J11" s="251">
        <f ca="1">IF('Local Government'!$E$11="",0,'Peer City Scores'!G9)</f>
        <v>0.5</v>
      </c>
      <c r="K11" s="251">
        <f ca="1">IF('Local Government'!$E$11="",0,'Peer City Scores'!H9)</f>
        <v>0.5</v>
      </c>
      <c r="L11" s="251">
        <f ca="1">IF('Local Government'!$E$11="",0,'Peer City Scores'!I9)</f>
        <v>1</v>
      </c>
      <c r="M11" s="251">
        <f ca="1">IF('Local Government'!$E$11="",0,'Peer City Scores'!J9)</f>
        <v>1</v>
      </c>
      <c r="N11" s="251">
        <f ca="1">IF('Local Government'!$E$11="",0,'Peer City Scores'!K9)</f>
        <v>0</v>
      </c>
    </row>
    <row r="12" spans="1:14" s="9" customFormat="1">
      <c r="B12" s="38" t="str">
        <f ca="1">'Local Government'!B18</f>
        <v>Transparent Government Energy Usage</v>
      </c>
      <c r="C12" s="86">
        <v>2</v>
      </c>
      <c r="D12" s="86">
        <f ca="1">SUM(D13:D14)</f>
        <v>0</v>
      </c>
      <c r="E12" s="330"/>
      <c r="F12" s="250">
        <f ca="1">F13+F14</f>
        <v>1</v>
      </c>
      <c r="G12" s="250">
        <f t="shared" ref="G12:M12" si="3">G13+G14</f>
        <v>1</v>
      </c>
      <c r="H12" s="250">
        <f t="shared" si="3"/>
        <v>0</v>
      </c>
      <c r="I12" s="250">
        <f t="shared" si="3"/>
        <v>0</v>
      </c>
      <c r="J12" s="250">
        <f t="shared" si="3"/>
        <v>1</v>
      </c>
      <c r="K12" s="250">
        <f t="shared" si="3"/>
        <v>0.5</v>
      </c>
      <c r="L12" s="250">
        <f t="shared" si="3"/>
        <v>0.25</v>
      </c>
      <c r="M12" s="250">
        <f t="shared" si="3"/>
        <v>1</v>
      </c>
      <c r="N12" s="253">
        <f ca="1">HLOOKUP($N$3,'City Scorecard Scores'!$B$1:$CZ$87,10,FALSE)</f>
        <v>0.5</v>
      </c>
    </row>
    <row r="13" spans="1:14" s="9" customFormat="1" outlineLevel="1">
      <c r="B13" s="11" t="str">
        <f ca="1">'Local Government'!A21</f>
        <v>Performance Management and Reporting</v>
      </c>
      <c r="C13" s="71">
        <v>1</v>
      </c>
      <c r="D13" s="71" t="str">
        <f ca="1">IF('Local Government'!E21="","",IF('Local Government'!E22="","",('Local Government'!E21+'Local Government'!E22)))</f>
        <v/>
      </c>
      <c r="E13" s="330"/>
      <c r="F13" s="251">
        <f ca="1">IF(OR('Local Government'!$E$21="",'Local Government'!$E$22=""),0,'Peer City Scores'!C11)</f>
        <v>0</v>
      </c>
      <c r="G13" s="251">
        <f ca="1">IF(OR('Local Government'!$E$21="",'Local Government'!$E$22=""),0,'Peer City Scores'!D11)</f>
        <v>0</v>
      </c>
      <c r="H13" s="251">
        <f ca="1">IF(OR('Local Government'!$E$21="",'Local Government'!$E$22=""),0,'Peer City Scores'!E11)</f>
        <v>0</v>
      </c>
      <c r="I13" s="251">
        <f ca="1">IF(OR('Local Government'!$E$21="",'Local Government'!$E$22=""),0,'Peer City Scores'!F11)</f>
        <v>0</v>
      </c>
      <c r="J13" s="251">
        <f ca="1">IF(OR('Local Government'!$E$21="",'Local Government'!$E$22=""),0,'Peer City Scores'!G11)</f>
        <v>0</v>
      </c>
      <c r="K13" s="251">
        <f ca="1">IF(OR('Local Government'!$E$21="",'Local Government'!$E$22=""),0,'Peer City Scores'!H11)</f>
        <v>0</v>
      </c>
      <c r="L13" s="251">
        <f ca="1">IF(OR('Local Government'!$E$21="",'Local Government'!$E$22=""),0,'Peer City Scores'!I11)</f>
        <v>0</v>
      </c>
      <c r="M13" s="251">
        <f ca="1">IF(OR('Local Government'!$E$21="",'Local Government'!$E$22=""),0,'Peer City Scores'!J11)</f>
        <v>0</v>
      </c>
      <c r="N13" s="252">
        <f ca="1">HLOOKUP($N$3,'City Scorecard Scores'!$B$1:$CZ$87,11,FALSE)</f>
        <v>0.5</v>
      </c>
    </row>
    <row r="14" spans="1:14" s="9" customFormat="1" outlineLevel="1">
      <c r="B14" s="11" t="str">
        <f ca="1">'Local Government'!A23</f>
        <v>Building Benchmarking</v>
      </c>
      <c r="C14" s="71">
        <v>1</v>
      </c>
      <c r="D14" s="71">
        <f ca="1">'Local Government'!E23</f>
        <v>0</v>
      </c>
      <c r="E14" s="330"/>
      <c r="F14" s="251">
        <f ca="1">IF('Local Government'!$E$23="",0,'Peer City Scores'!C12)</f>
        <v>1</v>
      </c>
      <c r="G14" s="251">
        <f ca="1">IF('Local Government'!$E$23="",0,'Peer City Scores'!D12)</f>
        <v>1</v>
      </c>
      <c r="H14" s="251">
        <f ca="1">IF('Local Government'!$E$23="",0,'Peer City Scores'!E12)</f>
        <v>0</v>
      </c>
      <c r="I14" s="251">
        <f ca="1">IF('Local Government'!$E$23="",0,'Peer City Scores'!F12)</f>
        <v>0</v>
      </c>
      <c r="J14" s="251">
        <f ca="1">IF('Local Government'!$E$23="",0,'Peer City Scores'!G12)</f>
        <v>1</v>
      </c>
      <c r="K14" s="251">
        <f ca="1">IF('Local Government'!$E$23="",0,'Peer City Scores'!H12)</f>
        <v>0.5</v>
      </c>
      <c r="L14" s="251">
        <f ca="1">IF('Local Government'!$E$23="",0,'Peer City Scores'!I12)</f>
        <v>0.25</v>
      </c>
      <c r="M14" s="251">
        <f ca="1">IF('Local Government'!$E$23="",0,'Peer City Scores'!J12)</f>
        <v>1</v>
      </c>
      <c r="N14" s="252">
        <f ca="1">HLOOKUP($N$3,'City Scorecard Scores'!$B$1:$CZ$87,12,FALSE)</f>
        <v>0</v>
      </c>
    </row>
    <row r="15" spans="1:14" s="9" customFormat="1">
      <c r="B15" s="38" t="str">
        <f ca="1">'Local Government'!B28</f>
        <v>Comprehensive Energy Management Strategy for Government Operations</v>
      </c>
      <c r="C15" s="86">
        <v>9</v>
      </c>
      <c r="D15" s="86">
        <f ca="1">SUM(D16:D23)</f>
        <v>1</v>
      </c>
      <c r="E15" s="330"/>
      <c r="F15" s="250">
        <f ca="1">F16+F17+F18+F19+F20+F21+F22+F23</f>
        <v>3.5</v>
      </c>
      <c r="G15" s="250">
        <f t="shared" ref="G15:M15" si="4">G16+G17+G18+G19+G20+G21+G22+G23</f>
        <v>3.5</v>
      </c>
      <c r="H15" s="250">
        <f t="shared" si="4"/>
        <v>1</v>
      </c>
      <c r="I15" s="250">
        <f t="shared" si="4"/>
        <v>2</v>
      </c>
      <c r="J15" s="250">
        <f t="shared" si="4"/>
        <v>1</v>
      </c>
      <c r="K15" s="250">
        <f t="shared" si="4"/>
        <v>0</v>
      </c>
      <c r="L15" s="250">
        <f t="shared" si="4"/>
        <v>0.25</v>
      </c>
      <c r="M15" s="250">
        <f t="shared" si="4"/>
        <v>1</v>
      </c>
      <c r="N15" s="253">
        <f ca="1">HLOOKUP($N$3,'City Scorecard Scores'!$B$1:$CZ$87,13,FALSE)</f>
        <v>4.25</v>
      </c>
    </row>
    <row r="16" spans="1:14" s="9" customFormat="1" outlineLevel="1">
      <c r="B16" s="11" t="str">
        <f ca="1">'Local Government'!A31</f>
        <v>Local Government Energy Efficiency Targets</v>
      </c>
      <c r="C16" s="71">
        <v>2</v>
      </c>
      <c r="D16" s="71">
        <f ca="1">'Local Government'!E31</f>
        <v>1</v>
      </c>
      <c r="E16" s="330"/>
      <c r="F16" s="251">
        <f ca="1">IF('Local Government'!$E$31="",0,'Peer City Scores'!C14)</f>
        <v>2</v>
      </c>
      <c r="G16" s="251">
        <f ca="1">IF('Local Government'!$E$31="",0,'Peer City Scores'!D14)</f>
        <v>2</v>
      </c>
      <c r="H16" s="251">
        <f ca="1">IF('Local Government'!$E$31="",0,'Peer City Scores'!E14)</f>
        <v>1</v>
      </c>
      <c r="I16" s="251">
        <f ca="1">IF('Local Government'!$E$31="",0,'Peer City Scores'!F14)</f>
        <v>2</v>
      </c>
      <c r="J16" s="251">
        <f ca="1">IF('Local Government'!$E$31="",0,'Peer City Scores'!G14)</f>
        <v>1</v>
      </c>
      <c r="K16" s="251">
        <f ca="1">IF('Local Government'!$E$31="",0,'Peer City Scores'!H14)</f>
        <v>0</v>
      </c>
      <c r="L16" s="251">
        <f ca="1">IF('Local Government'!$E$31="",0,'Peer City Scores'!I14)</f>
        <v>0</v>
      </c>
      <c r="M16" s="251">
        <f ca="1">IF('Local Government'!$E$31="",0,'Peer City Scores'!J14)</f>
        <v>1</v>
      </c>
      <c r="N16" s="252">
        <f ca="1">HLOOKUP($N$3,'City Scorecard Scores'!$B$1:$CZ$87,14,FALSE)</f>
        <v>1</v>
      </c>
    </row>
    <row r="17" spans="2:14" s="9" customFormat="1" outlineLevel="1">
      <c r="B17" s="11" t="str">
        <f ca="1">'Local Government'!A32</f>
        <v>Progress Towards Efficiency Goals</v>
      </c>
      <c r="C17" s="71">
        <v>1.5</v>
      </c>
      <c r="D17" s="71" t="str">
        <f ca="1">IF('Local Government'!E32="","",IF('Local Government'!E33="","",('Local Government'!E32+'Local Government'!E33)))</f>
        <v/>
      </c>
      <c r="E17" s="330"/>
      <c r="F17" s="251">
        <f ca="1">IF(OR('Local Government'!$E$32="",'Local Government'!$E$33=""),0,'Peer City Scores'!C15)</f>
        <v>0</v>
      </c>
      <c r="G17" s="251">
        <f ca="1">IF(OR('Local Government'!$E$32="",'Local Government'!$E$33=""),0,'Peer City Scores'!D15)</f>
        <v>0</v>
      </c>
      <c r="H17" s="251">
        <f ca="1">IF(OR('Local Government'!$E$32="",'Local Government'!$E$33=""),0,'Peer City Scores'!E15)</f>
        <v>0</v>
      </c>
      <c r="I17" s="251">
        <f ca="1">IF(OR('Local Government'!$E$32="",'Local Government'!$E$33=""),0,'Peer City Scores'!F15)</f>
        <v>0</v>
      </c>
      <c r="J17" s="251">
        <f ca="1">IF(OR('Local Government'!$E$32="",'Local Government'!$E$33=""),0,'Peer City Scores'!G15)</f>
        <v>0</v>
      </c>
      <c r="K17" s="251">
        <f ca="1">IF(OR('Local Government'!$E$32="",'Local Government'!$E$33=""),0,'Peer City Scores'!H15)</f>
        <v>0</v>
      </c>
      <c r="L17" s="251">
        <f ca="1">IF(OR('Local Government'!$E$32="",'Local Government'!$E$33=""),0,'Peer City Scores'!I15)</f>
        <v>0</v>
      </c>
      <c r="M17" s="251">
        <f ca="1">IF(OR('Local Government'!$E$32="",'Local Government'!$E$33=""),0,'Peer City Scores'!J15)</f>
        <v>0</v>
      </c>
      <c r="N17" s="252">
        <f ca="1">HLOOKUP($N$3,'City Scorecard Scores'!$B$1:$CZ$87,15,FALSE)</f>
        <v>0</v>
      </c>
    </row>
    <row r="18" spans="2:14" s="9" customFormat="1" outlineLevel="1">
      <c r="B18" s="11" t="str">
        <f ca="1">'Local Government'!A34</f>
        <v>Third Party EM&amp;V</v>
      </c>
      <c r="C18" s="71">
        <v>0.5</v>
      </c>
      <c r="D18" s="71">
        <f ca="1">'Local Government'!E34</f>
        <v>0</v>
      </c>
      <c r="E18" s="330"/>
      <c r="F18" s="251">
        <f ca="1">IF('Local Government'!$E$34="",0,'Peer City Scores'!C16)</f>
        <v>0.5</v>
      </c>
      <c r="G18" s="251">
        <f ca="1">IF('Local Government'!$E$34="",0,'Peer City Scores'!D16)</f>
        <v>0.5</v>
      </c>
      <c r="H18" s="251">
        <f ca="1">IF('Local Government'!$E$34="",0,'Peer City Scores'!E16)</f>
        <v>0</v>
      </c>
      <c r="I18" s="251">
        <f ca="1">IF('Local Government'!$E$34="",0,'Peer City Scores'!F16)</f>
        <v>0</v>
      </c>
      <c r="J18" s="251">
        <f ca="1">IF('Local Government'!$E$34="",0,'Peer City Scores'!G16)</f>
        <v>0</v>
      </c>
      <c r="K18" s="251">
        <f ca="1">IF('Local Government'!$E$34="",0,'Peer City Scores'!H16)</f>
        <v>0</v>
      </c>
      <c r="L18" s="251">
        <f ca="1">IF('Local Government'!$E$34="",0,'Peer City Scores'!I16)</f>
        <v>0.25</v>
      </c>
      <c r="M18" s="251">
        <f ca="1">IF('Local Government'!$E$34="",0,'Peer City Scores'!J16)</f>
        <v>0</v>
      </c>
      <c r="N18" s="252">
        <f ca="1">HLOOKUP($N$3,'City Scorecard Scores'!$B$1:$CZ$87,16,FALSE)</f>
        <v>0.5</v>
      </c>
    </row>
    <row r="19" spans="2:14" s="9" customFormat="1" outlineLevel="1">
      <c r="B19" s="11" t="str">
        <f ca="1">'Local Government'!A35</f>
        <v>Departmental/Staff Incentives</v>
      </c>
      <c r="C19" s="71">
        <v>0.5</v>
      </c>
      <c r="D19" s="71" t="str">
        <f ca="1">'Local Government'!E35</f>
        <v/>
      </c>
      <c r="E19" s="330"/>
      <c r="F19" s="251">
        <f ca="1">IF('Local Government'!$E$35="",0,'Peer City Scores'!C17)</f>
        <v>0</v>
      </c>
      <c r="G19" s="251">
        <f ca="1">IF('Local Government'!$E$35="",0,'Peer City Scores'!D17)</f>
        <v>0</v>
      </c>
      <c r="H19" s="251">
        <f ca="1">IF('Local Government'!$E$35="",0,'Peer City Scores'!E17)</f>
        <v>0</v>
      </c>
      <c r="I19" s="251">
        <f ca="1">IF('Local Government'!$E$35="",0,'Peer City Scores'!F17)</f>
        <v>0</v>
      </c>
      <c r="J19" s="251">
        <f ca="1">IF('Local Government'!$E$35="",0,'Peer City Scores'!G17)</f>
        <v>0</v>
      </c>
      <c r="K19" s="251">
        <f ca="1">IF('Local Government'!$E$35="",0,'Peer City Scores'!H17)</f>
        <v>0</v>
      </c>
      <c r="L19" s="251">
        <f ca="1">IF('Local Government'!$E$35="",0,'Peer City Scores'!I17)</f>
        <v>0</v>
      </c>
      <c r="M19" s="251">
        <f ca="1">IF('Local Government'!$E$35="",0,'Peer City Scores'!J17)</f>
        <v>0</v>
      </c>
      <c r="N19" s="252">
        <f ca="1">HLOOKUP($N$3,'City Scorecard Scores'!$B$1:$CZ$87,17,FALSE)</f>
        <v>0.5</v>
      </c>
    </row>
    <row r="20" spans="2:14" s="9" customFormat="1" outlineLevel="1">
      <c r="B20" s="11" t="str">
        <f ca="1">'Local Government'!A36</f>
        <v>Fleet Efficiency and Vehicle Infrastructure</v>
      </c>
      <c r="C20" s="71">
        <v>2</v>
      </c>
      <c r="D20" s="71" t="str">
        <f ca="1">IF('Local Government'!E36="","",IF('Local Government'!E37="","",IF('Local Government'!E38="","",('Local Government'!E36+'Local Government'!E37+'Local Government'!E38))))</f>
        <v/>
      </c>
      <c r="E20" s="330"/>
      <c r="F20" s="251">
        <f ca="1">IF(OR('Local Government'!$E$36="",'Local Government'!$E$37="",'Local Government'!$E$38=""),0,'Peer City Scores'!C18)</f>
        <v>0</v>
      </c>
      <c r="G20" s="251">
        <f ca="1">IF(OR('Local Government'!$E$36="",'Local Government'!$E$37="",'Local Government'!$E$38=""),0,'Peer City Scores'!D18)</f>
        <v>0</v>
      </c>
      <c r="H20" s="251">
        <f ca="1">IF(OR('Local Government'!$E$36="",'Local Government'!$E$37="",'Local Government'!$E$38=""),0,'Peer City Scores'!E18)</f>
        <v>0</v>
      </c>
      <c r="I20" s="251">
        <f ca="1">IF(OR('Local Government'!$E$36="",'Local Government'!$E$37="",'Local Government'!$E$38=""),0,'Peer City Scores'!F18)</f>
        <v>0</v>
      </c>
      <c r="J20" s="251">
        <f ca="1">IF(OR('Local Government'!$E$36="",'Local Government'!$E$37="",'Local Government'!$E$38=""),0,'Peer City Scores'!G18)</f>
        <v>0</v>
      </c>
      <c r="K20" s="251">
        <f ca="1">IF(OR('Local Government'!$E$36="",'Local Government'!$E$37="",'Local Government'!$E$38=""),0,'Peer City Scores'!H18)</f>
        <v>0</v>
      </c>
      <c r="L20" s="251">
        <f ca="1">IF(OR('Local Government'!$E$36="",'Local Government'!$E$37="",'Local Government'!$E$38=""),0,'Peer City Scores'!I18)</f>
        <v>0</v>
      </c>
      <c r="M20" s="251">
        <f ca="1">IF(OR('Local Government'!$E$36="",'Local Government'!$E$37="",'Local Government'!$E$38=""),0,'Peer City Scores'!J18)</f>
        <v>0</v>
      </c>
      <c r="N20" s="252">
        <f ca="1">HLOOKUP($N$3,'City Scorecard Scores'!$B$1:$CZ$87,18,FALSE)</f>
        <v>1</v>
      </c>
    </row>
    <row r="21" spans="2:14" s="9" customFormat="1" outlineLevel="1">
      <c r="B21" s="11" t="str">
        <f ca="1">'Local Government'!A39</f>
        <v>Above Code Requirements for Public Buildings</v>
      </c>
      <c r="C21" s="71">
        <v>0.5</v>
      </c>
      <c r="D21" s="71" t="str">
        <f ca="1">'Local Government'!E39</f>
        <v/>
      </c>
      <c r="E21" s="330"/>
      <c r="F21" s="251">
        <f ca="1">IF('Local Government'!$E$39="",0,'Peer City Scores'!C19)</f>
        <v>0</v>
      </c>
      <c r="G21" s="251">
        <f ca="1">IF('Local Government'!$E$39="",0,'Peer City Scores'!D19)</f>
        <v>0</v>
      </c>
      <c r="H21" s="251">
        <f ca="1">IF('Local Government'!$E$39="",0,'Peer City Scores'!E19)</f>
        <v>0</v>
      </c>
      <c r="I21" s="251">
        <f ca="1">IF('Local Government'!$E$39="",0,'Peer City Scores'!F19)</f>
        <v>0</v>
      </c>
      <c r="J21" s="251">
        <f ca="1">IF('Local Government'!$E$39="",0,'Peer City Scores'!G19)</f>
        <v>0</v>
      </c>
      <c r="K21" s="251">
        <f ca="1">IF('Local Government'!$E$39="",0,'Peer City Scores'!H19)</f>
        <v>0</v>
      </c>
      <c r="L21" s="251">
        <f ca="1">IF('Local Government'!$E$39="",0,'Peer City Scores'!I19)</f>
        <v>0</v>
      </c>
      <c r="M21" s="251">
        <f ca="1">IF('Local Government'!$E$39="",0,'Peer City Scores'!J19)</f>
        <v>0</v>
      </c>
      <c r="N21" s="252">
        <f ca="1">HLOOKUP($N$3,'City Scorecard Scores'!$B$1:$CZ$87,19,FALSE)</f>
        <v>0.25</v>
      </c>
    </row>
    <row r="22" spans="2:14" s="9" customFormat="1" outlineLevel="1">
      <c r="B22" s="11" t="str">
        <f ca="1">'Local Government'!A40</f>
        <v>Comprehensive Retrofit Strategy</v>
      </c>
      <c r="C22" s="71">
        <v>1</v>
      </c>
      <c r="D22" s="71" t="str">
        <f ca="1">'Local Government'!E40</f>
        <v/>
      </c>
      <c r="E22" s="330"/>
      <c r="F22" s="251">
        <f ca="1">IF('Local Government'!$E$40="",0,'Peer City Scores'!C20)</f>
        <v>0</v>
      </c>
      <c r="G22" s="251">
        <f ca="1">IF('Local Government'!$E$40="",0,'Peer City Scores'!D20)</f>
        <v>0</v>
      </c>
      <c r="H22" s="251">
        <f ca="1">IF('Local Government'!$E$40="",0,'Peer City Scores'!E20)</f>
        <v>0</v>
      </c>
      <c r="I22" s="251">
        <f ca="1">IF('Local Government'!$E$40="",0,'Peer City Scores'!F20)</f>
        <v>0</v>
      </c>
      <c r="J22" s="251">
        <f ca="1">IF('Local Government'!$E$40="",0,'Peer City Scores'!G20)</f>
        <v>0</v>
      </c>
      <c r="K22" s="251">
        <f ca="1">IF('Local Government'!$E$40="",0,'Peer City Scores'!H20)</f>
        <v>0</v>
      </c>
      <c r="L22" s="251">
        <f ca="1">IF('Local Government'!$E$40="",0,'Peer City Scores'!I20)</f>
        <v>0</v>
      </c>
      <c r="M22" s="251">
        <f ca="1">IF('Local Government'!$E$40="",0,'Peer City Scores'!J20)</f>
        <v>0</v>
      </c>
      <c r="N22" s="252">
        <f ca="1">HLOOKUP($N$3,'City Scorecard Scores'!$B$1:$CZ$87,20,FALSE)</f>
        <v>1</v>
      </c>
    </row>
    <row r="23" spans="2:14" s="9" customFormat="1" outlineLevel="1">
      <c r="B23" s="11" t="str">
        <f ca="1">'Local Government'!A41</f>
        <v>Fix-It-First or Lifecycle Cost Policy</v>
      </c>
      <c r="C23" s="71">
        <v>1</v>
      </c>
      <c r="D23" s="71">
        <f ca="1">'Local Government'!E41</f>
        <v>0</v>
      </c>
      <c r="E23" s="330"/>
      <c r="F23" s="251">
        <f ca="1">IF('Local Government'!$E$41="",0,'Peer City Scores'!C21)</f>
        <v>1</v>
      </c>
      <c r="G23" s="251">
        <f ca="1">IF('Local Government'!$E$41="",0,'Peer City Scores'!D21)</f>
        <v>1</v>
      </c>
      <c r="H23" s="251">
        <f ca="1">IF('Local Government'!$E$41="",0,'Peer City Scores'!E21)</f>
        <v>0</v>
      </c>
      <c r="I23" s="251">
        <f ca="1">IF('Local Government'!$E$41="",0,'Peer City Scores'!F21)</f>
        <v>0</v>
      </c>
      <c r="J23" s="251">
        <f ca="1">IF('Local Government'!$E$41="",0,'Peer City Scores'!G21)</f>
        <v>0</v>
      </c>
      <c r="K23" s="251">
        <f ca="1">IF('Local Government'!$E$41="",0,'Peer City Scores'!H21)</f>
        <v>0</v>
      </c>
      <c r="L23" s="251">
        <f ca="1">IF('Local Government'!$E$41="",0,'Peer City Scores'!I21)</f>
        <v>0</v>
      </c>
      <c r="M23" s="251">
        <f ca="1">IF('Local Government'!$E$41="",0,'Peer City Scores'!J21)</f>
        <v>0</v>
      </c>
      <c r="N23" s="252">
        <f ca="1">HLOOKUP($N$3,'City Scorecard Scores'!$B$1:$CZ$87,21,FALSE)</f>
        <v>0</v>
      </c>
    </row>
    <row r="24" spans="2:14" s="9" customFormat="1">
      <c r="B24" s="65" t="s">
        <v>119</v>
      </c>
      <c r="C24" s="85">
        <f>C25+C28+C30</f>
        <v>10</v>
      </c>
      <c r="D24" s="88">
        <f>D25+D28+D30</f>
        <v>2.5</v>
      </c>
      <c r="E24" s="330"/>
      <c r="F24" s="254">
        <f ca="1">F25+F28+F30</f>
        <v>3</v>
      </c>
      <c r="G24" s="255">
        <f t="shared" ref="G24:M24" si="5">G25+G28+G30</f>
        <v>2.5</v>
      </c>
      <c r="H24" s="255">
        <f t="shared" si="5"/>
        <v>2.5</v>
      </c>
      <c r="I24" s="255">
        <f t="shared" si="5"/>
        <v>3</v>
      </c>
      <c r="J24" s="255">
        <f t="shared" si="5"/>
        <v>1</v>
      </c>
      <c r="K24" s="255">
        <f t="shared" si="5"/>
        <v>1</v>
      </c>
      <c r="L24" s="255">
        <f t="shared" si="5"/>
        <v>2.5</v>
      </c>
      <c r="M24" s="255">
        <f t="shared" si="5"/>
        <v>2.5</v>
      </c>
      <c r="N24" s="248">
        <f ca="1">HLOOKUP($N$3,'City Scorecard Scores'!$B$1:$CZ$87,22,FALSE)</f>
        <v>6</v>
      </c>
    </row>
    <row r="25" spans="2:14" s="9" customFormat="1">
      <c r="B25" s="38" t="str">
        <f ca="1">'Community-Wide'!B4</f>
        <v>Getting Started on Community-Wide Energy Efficiency</v>
      </c>
      <c r="C25" s="86">
        <v>1.5</v>
      </c>
      <c r="D25" s="86">
        <f ca="1">SUM(D26:D27)</f>
        <v>0</v>
      </c>
      <c r="E25" s="330"/>
      <c r="F25" s="256">
        <f ca="1">F26+F27</f>
        <v>0</v>
      </c>
      <c r="G25" s="250">
        <f t="shared" ref="G25:M25" si="6">G26+G27</f>
        <v>0</v>
      </c>
      <c r="H25" s="250">
        <f t="shared" si="6"/>
        <v>0</v>
      </c>
      <c r="I25" s="250">
        <f t="shared" si="6"/>
        <v>0</v>
      </c>
      <c r="J25" s="250">
        <f t="shared" si="6"/>
        <v>0</v>
      </c>
      <c r="K25" s="250">
        <f t="shared" si="6"/>
        <v>0</v>
      </c>
      <c r="L25" s="250">
        <f t="shared" si="6"/>
        <v>0</v>
      </c>
      <c r="M25" s="257">
        <f t="shared" si="6"/>
        <v>0</v>
      </c>
      <c r="N25" s="253">
        <f ca="1">HLOOKUP($N$3,'City Scorecard Scores'!$B$1:$CZ$87,23,FALSE)</f>
        <v>1.5</v>
      </c>
    </row>
    <row r="26" spans="2:14" s="9" customFormat="1" outlineLevel="1">
      <c r="B26" s="11" t="str">
        <f ca="1">'Community-Wide'!A7</f>
        <v>Dedicated Staff</v>
      </c>
      <c r="C26" s="71">
        <v>0.5</v>
      </c>
      <c r="D26" s="71" t="str">
        <f ca="1">'Community-Wide'!E7</f>
        <v/>
      </c>
      <c r="E26" s="330"/>
      <c r="F26" s="251">
        <f ca="1">IF('Community-Wide'!$E$7="",0,'Peer City Scores'!C24)</f>
        <v>0</v>
      </c>
      <c r="G26" s="251">
        <f ca="1">IF('Community-Wide'!$E$7="",0,'Peer City Scores'!D24)</f>
        <v>0</v>
      </c>
      <c r="H26" s="251">
        <f ca="1">IF('Community-Wide'!$E$7="",0,'Peer City Scores'!E24)</f>
        <v>0</v>
      </c>
      <c r="I26" s="251">
        <f ca="1">IF('Community-Wide'!$E$7="",0,'Peer City Scores'!F24)</f>
        <v>0</v>
      </c>
      <c r="J26" s="251">
        <f ca="1">IF('Community-Wide'!$E$7="",0,'Peer City Scores'!G24)</f>
        <v>0</v>
      </c>
      <c r="K26" s="251">
        <f ca="1">IF('Community-Wide'!$E$7="",0,'Peer City Scores'!H24)</f>
        <v>0</v>
      </c>
      <c r="L26" s="251">
        <f ca="1">IF('Community-Wide'!$E$7="",0,'Peer City Scores'!I24)</f>
        <v>0</v>
      </c>
      <c r="M26" s="251">
        <f ca="1">IF('Community-Wide'!$E$7="",0,'Peer City Scores'!J24)</f>
        <v>0</v>
      </c>
      <c r="N26" s="258">
        <f ca="1">HLOOKUP($N$3,'City Scorecard Scores'!$B$1:$CZ$87,24,FALSE)</f>
        <v>0.5</v>
      </c>
    </row>
    <row r="27" spans="2:14" s="9" customFormat="1" outlineLevel="1">
      <c r="B27" s="11" t="str">
        <f ca="1">'Community-Wide'!A8</f>
        <v xml:space="preserve"> Urban Heat Island Effect Mitigation Programs</v>
      </c>
      <c r="C27" s="71">
        <v>1</v>
      </c>
      <c r="D27" s="71" t="str">
        <f ca="1">'Community-Wide'!E8</f>
        <v/>
      </c>
      <c r="E27" s="330"/>
      <c r="F27" s="251">
        <f ca="1">IF('Community-Wide'!$E$8="",0,'Peer City Scores'!C25)</f>
        <v>0</v>
      </c>
      <c r="G27" s="251">
        <f ca="1">IF('Community-Wide'!$E$8="",0,'Peer City Scores'!D25)</f>
        <v>0</v>
      </c>
      <c r="H27" s="251">
        <f ca="1">IF('Community-Wide'!$E$8="",0,'Peer City Scores'!E25)</f>
        <v>0</v>
      </c>
      <c r="I27" s="251">
        <f ca="1">IF('Community-Wide'!$E$8="",0,'Peer City Scores'!F25)</f>
        <v>0</v>
      </c>
      <c r="J27" s="251">
        <f ca="1">IF('Community-Wide'!$E$8="",0,'Peer City Scores'!G25)</f>
        <v>0</v>
      </c>
      <c r="K27" s="251">
        <f ca="1">IF('Community-Wide'!$E$8="",0,'Peer City Scores'!H25)</f>
        <v>0</v>
      </c>
      <c r="L27" s="251">
        <f ca="1">IF('Community-Wide'!$E$8="",0,'Peer City Scores'!I25)</f>
        <v>0</v>
      </c>
      <c r="M27" s="251">
        <f ca="1">IF('Community-Wide'!$E$8="",0,'Peer City Scores'!J25)</f>
        <v>0</v>
      </c>
      <c r="N27" s="258">
        <f ca="1">HLOOKUP($N$3,'City Scorecard Scores'!$B$1:$CZ$87,25,FALSE)</f>
        <v>1</v>
      </c>
    </row>
    <row r="28" spans="2:14" s="9" customFormat="1">
      <c r="B28" s="38" t="str">
        <f ca="1">'Community-Wide'!B13</f>
        <v>Informing the Community</v>
      </c>
      <c r="C28" s="86">
        <v>0.5</v>
      </c>
      <c r="D28" s="86">
        <f ca="1">SUM(D29)</f>
        <v>0</v>
      </c>
      <c r="E28" s="330"/>
      <c r="F28" s="250">
        <f ca="1">F29</f>
        <v>0</v>
      </c>
      <c r="G28" s="250">
        <f t="shared" ref="G28:M28" si="7">G29</f>
        <v>0</v>
      </c>
      <c r="H28" s="250">
        <f t="shared" si="7"/>
        <v>0</v>
      </c>
      <c r="I28" s="250">
        <f t="shared" si="7"/>
        <v>0</v>
      </c>
      <c r="J28" s="250">
        <f t="shared" si="7"/>
        <v>0</v>
      </c>
      <c r="K28" s="250">
        <f t="shared" si="7"/>
        <v>0</v>
      </c>
      <c r="L28" s="250">
        <f t="shared" si="7"/>
        <v>0</v>
      </c>
      <c r="M28" s="257">
        <f t="shared" si="7"/>
        <v>0</v>
      </c>
      <c r="N28" s="253">
        <f ca="1">HLOOKUP($N$3,'City Scorecard Scores'!$B$1:$CZ$87,26,FALSE)</f>
        <v>0</v>
      </c>
    </row>
    <row r="29" spans="2:14" s="9" customFormat="1" outlineLevel="1">
      <c r="B29" s="11" t="str">
        <f ca="1">'Community-Wide'!A16</f>
        <v>Annual Public Reporting</v>
      </c>
      <c r="C29" s="71">
        <v>0.5</v>
      </c>
      <c r="D29" s="71" t="str">
        <f ca="1">'Community-Wide'!E16</f>
        <v/>
      </c>
      <c r="E29" s="330"/>
      <c r="F29" s="251">
        <f ca="1">IF('Community-Wide'!$E$16="",0,'Peer City Scores'!C27)</f>
        <v>0</v>
      </c>
      <c r="G29" s="251">
        <f ca="1">IF('Community-Wide'!$E$16="",0,'Peer City Scores'!D27)</f>
        <v>0</v>
      </c>
      <c r="H29" s="251">
        <f ca="1">IF('Community-Wide'!$E$16="",0,'Peer City Scores'!E27)</f>
        <v>0</v>
      </c>
      <c r="I29" s="251">
        <f ca="1">IF('Community-Wide'!$E$16="",0,'Peer City Scores'!F27)</f>
        <v>0</v>
      </c>
      <c r="J29" s="251">
        <f ca="1">IF('Community-Wide'!$E$16="",0,'Peer City Scores'!G27)</f>
        <v>0</v>
      </c>
      <c r="K29" s="251">
        <f ca="1">IF('Community-Wide'!$E$16="",0,'Peer City Scores'!H27)</f>
        <v>0</v>
      </c>
      <c r="L29" s="251">
        <f ca="1">IF('Community-Wide'!$E$16="",0,'Peer City Scores'!I27)</f>
        <v>0</v>
      </c>
      <c r="M29" s="251">
        <f ca="1">IF('Community-Wide'!$E$16="",0,'Peer City Scores'!J27)</f>
        <v>0</v>
      </c>
      <c r="N29" s="258">
        <f ca="1">HLOOKUP($N$3,'City Scorecard Scores'!$B$1:$CZ$87,27,FALSE)</f>
        <v>0</v>
      </c>
    </row>
    <row r="30" spans="2:14" s="9" customFormat="1">
      <c r="B30" s="38" t="str">
        <f ca="1">'Community-Wide'!B21</f>
        <v>Comprehensive Community-Wide Energy Management Strategy</v>
      </c>
      <c r="C30" s="86">
        <v>8</v>
      </c>
      <c r="D30" s="86">
        <f ca="1">SUM(D31:D34)</f>
        <v>2.5</v>
      </c>
      <c r="E30" s="330"/>
      <c r="F30" s="250">
        <f ca="1">F31+F32+F33+F34</f>
        <v>3</v>
      </c>
      <c r="G30" s="250">
        <f t="shared" ref="G30:M30" si="8">G31+G32+G33+G34</f>
        <v>2.5</v>
      </c>
      <c r="H30" s="250">
        <f t="shared" si="8"/>
        <v>2.5</v>
      </c>
      <c r="I30" s="250">
        <f t="shared" si="8"/>
        <v>3</v>
      </c>
      <c r="J30" s="250">
        <f t="shared" si="8"/>
        <v>1</v>
      </c>
      <c r="K30" s="250">
        <f t="shared" si="8"/>
        <v>1</v>
      </c>
      <c r="L30" s="250">
        <f t="shared" si="8"/>
        <v>2.5</v>
      </c>
      <c r="M30" s="257">
        <f t="shared" si="8"/>
        <v>2.5</v>
      </c>
      <c r="N30" s="253">
        <f ca="1">HLOOKUP($N$3,'City Scorecard Scores'!$B$1:$CZ$87,28,FALSE)</f>
        <v>4.5</v>
      </c>
    </row>
    <row r="31" spans="2:14" s="9" customFormat="1" outlineLevel="1">
      <c r="B31" s="11" t="str">
        <f ca="1">'Community-Wide'!A24</f>
        <v>Community-Wide Energy Efficiency Targets</v>
      </c>
      <c r="C31" s="71">
        <v>2</v>
      </c>
      <c r="D31" s="71">
        <f ca="1">'Community-Wide'!E24</f>
        <v>2</v>
      </c>
      <c r="E31" s="330"/>
      <c r="F31" s="251">
        <f ca="1">IF('Community-Wide'!$E$24="",0,'Peer City Scores'!C29)</f>
        <v>2</v>
      </c>
      <c r="G31" s="251">
        <f ca="1">IF('Community-Wide'!$E$24="",0,'Peer City Scores'!D29)</f>
        <v>2</v>
      </c>
      <c r="H31" s="251">
        <f ca="1">IF('Community-Wide'!$E$24="",0,'Peer City Scores'!E29)</f>
        <v>2</v>
      </c>
      <c r="I31" s="251">
        <f ca="1">IF('Community-Wide'!$E$24="",0,'Peer City Scores'!F29)</f>
        <v>2</v>
      </c>
      <c r="J31" s="251">
        <f ca="1">IF('Community-Wide'!$E$24="",0,'Peer City Scores'!G29)</f>
        <v>1</v>
      </c>
      <c r="K31" s="251">
        <f ca="1">IF('Community-Wide'!$E$24="",0,'Peer City Scores'!H29)</f>
        <v>1</v>
      </c>
      <c r="L31" s="251">
        <f ca="1">IF('Community-Wide'!$E$24="",0,'Peer City Scores'!I29)</f>
        <v>2</v>
      </c>
      <c r="M31" s="251">
        <f ca="1">IF('Community-Wide'!$E$24="",0,'Peer City Scores'!J29)</f>
        <v>2</v>
      </c>
      <c r="N31" s="258">
        <f ca="1">HLOOKUP($N$3,'City Scorecard Scores'!$B$1:$CZ$87,29,FALSE)</f>
        <v>1.5</v>
      </c>
    </row>
    <row r="32" spans="2:14" s="9" customFormat="1" outlineLevel="1">
      <c r="B32" s="11" t="str">
        <f ca="1">'Community-Wide'!A25</f>
        <v>Performance Management Strategies</v>
      </c>
      <c r="C32" s="71">
        <v>2</v>
      </c>
      <c r="D32" s="71">
        <f ca="1">IF('Community-Wide'!E25="","",IF('Community-Wide'!E26="","",IF('Community-Wide'!E27="","",('Community-Wide'!E25+'Community-Wide'!E26+'Community-Wide'!E27))))</f>
        <v>0.5</v>
      </c>
      <c r="E32" s="330"/>
      <c r="F32" s="251">
        <f ca="1">IF(OR('Community-Wide'!$E$25="",'Community-Wide'!$E$26="",'Community-Wide'!$E$27=""),0,'Peer City Scores'!C30)</f>
        <v>1</v>
      </c>
      <c r="G32" s="251">
        <f ca="1">IF(OR('Community-Wide'!$E$25="",'Community-Wide'!$E$26="",'Community-Wide'!$E$27=""),0,'Peer City Scores'!D30)</f>
        <v>0.5</v>
      </c>
      <c r="H32" s="251">
        <f ca="1">IF(OR('Community-Wide'!$E$25="",'Community-Wide'!$E$26="",'Community-Wide'!$E$27=""),0,'Peer City Scores'!E30)</f>
        <v>0.5</v>
      </c>
      <c r="I32" s="251">
        <f ca="1">IF(OR('Community-Wide'!$E$25="",'Community-Wide'!$E$26="",'Community-Wide'!$E$27=""),0,'Peer City Scores'!F30)</f>
        <v>1</v>
      </c>
      <c r="J32" s="251">
        <f ca="1">IF(OR('Community-Wide'!$E$25="",'Community-Wide'!$E$26="",'Community-Wide'!$E$27=""),0,'Peer City Scores'!G30)</f>
        <v>0</v>
      </c>
      <c r="K32" s="251">
        <f ca="1">IF(OR('Community-Wide'!$E$25="",'Community-Wide'!$E$26="",'Community-Wide'!$E$27=""),0,'Peer City Scores'!H30)</f>
        <v>0</v>
      </c>
      <c r="L32" s="251">
        <f ca="1">IF(OR('Community-Wide'!$E$25="",'Community-Wide'!$E$26="",'Community-Wide'!$E$27=""),0,'Peer City Scores'!I30)</f>
        <v>0.5</v>
      </c>
      <c r="M32" s="251">
        <f ca="1">IF(OR('Community-Wide'!$E$25="",'Community-Wide'!$E$26="",'Community-Wide'!$E$27=""),0,'Peer City Scores'!J30)</f>
        <v>0.5</v>
      </c>
      <c r="N32" s="258">
        <f ca="1">HLOOKUP($N$3,'City Scorecard Scores'!$B$1:$CZ$87,30,FALSE)</f>
        <v>0.5</v>
      </c>
    </row>
    <row r="33" spans="1:14" s="9" customFormat="1" outlineLevel="1">
      <c r="B33" s="11" t="str">
        <f ca="1">'Community-Wide'!A28</f>
        <v>Efficient Distributed Energy Systems</v>
      </c>
      <c r="C33" s="71">
        <v>3</v>
      </c>
      <c r="D33" s="71" t="str">
        <f ca="1">IF('Community-Wide'!E28="","",IF('Community-Wide'!E29="","",('Community-Wide'!E28+'Community-Wide'!E29)))</f>
        <v/>
      </c>
      <c r="E33" s="330"/>
      <c r="F33" s="251">
        <f ca="1">IF(OR('Community-Wide'!$E$28="",'Community-Wide'!$E$29=""),0,'Peer City Scores'!C31)</f>
        <v>0</v>
      </c>
      <c r="G33" s="251">
        <f ca="1">IF(OR('Community-Wide'!$E$28="",'Community-Wide'!$E$29=""),0,'Peer City Scores'!D31)</f>
        <v>0</v>
      </c>
      <c r="H33" s="251">
        <f ca="1">IF(OR('Community-Wide'!$E$28="",'Community-Wide'!$E$29=""),0,'Peer City Scores'!E31)</f>
        <v>0</v>
      </c>
      <c r="I33" s="251">
        <f ca="1">IF(OR('Community-Wide'!$E$28="",'Community-Wide'!$E$29=""),0,'Peer City Scores'!F31)</f>
        <v>0</v>
      </c>
      <c r="J33" s="251">
        <f ca="1">IF(OR('Community-Wide'!$E$28="",'Community-Wide'!$E$29=""),0,'Peer City Scores'!G31)</f>
        <v>0</v>
      </c>
      <c r="K33" s="251">
        <f ca="1">IF(OR('Community-Wide'!$E$28="",'Community-Wide'!$E$29=""),0,'Peer City Scores'!H31)</f>
        <v>0</v>
      </c>
      <c r="L33" s="251">
        <f ca="1">IF(OR('Community-Wide'!$E$28="",'Community-Wide'!$E$29=""),0,'Peer City Scores'!I31)</f>
        <v>0</v>
      </c>
      <c r="M33" s="251">
        <f ca="1">IF(OR('Community-Wide'!$E$28="",'Community-Wide'!$E$29=""),0,'Peer City Scores'!J31)</f>
        <v>0</v>
      </c>
      <c r="N33" s="258">
        <f ca="1">HLOOKUP($N$3,'City Scorecard Scores'!$B$1:$CZ$87,31,FALSE)</f>
        <v>2.5</v>
      </c>
    </row>
    <row r="34" spans="1:14" s="9" customFormat="1" outlineLevel="1">
      <c r="B34" s="11" t="str">
        <f ca="1">'Community-Wide'!A30</f>
        <v>Urban Heat Island Effect Mitigation Policies</v>
      </c>
      <c r="C34" s="71">
        <v>1</v>
      </c>
      <c r="D34" s="71">
        <f ca="1">'Community-Wide'!E30</f>
        <v>0</v>
      </c>
      <c r="E34" s="330"/>
      <c r="F34" s="259">
        <f ca="1">IF('Community-Wide'!$E$30="",0,'Peer City Scores'!C32)</f>
        <v>0</v>
      </c>
      <c r="G34" s="259">
        <f ca="1">IF('Community-Wide'!$E$30="",0,'Peer City Scores'!D32)</f>
        <v>0</v>
      </c>
      <c r="H34" s="259">
        <f ca="1">IF('Community-Wide'!$E$30="",0,'Peer City Scores'!E32)</f>
        <v>0</v>
      </c>
      <c r="I34" s="259">
        <f ca="1">IF('Community-Wide'!$E$30="",0,'Peer City Scores'!F32)</f>
        <v>0</v>
      </c>
      <c r="J34" s="259">
        <f ca="1">IF('Community-Wide'!$E$30="",0,'Peer City Scores'!G32)</f>
        <v>0</v>
      </c>
      <c r="K34" s="259">
        <f ca="1">IF('Community-Wide'!$E$30="",0,'Peer City Scores'!H32)</f>
        <v>0</v>
      </c>
      <c r="L34" s="259">
        <f ca="1">IF('Community-Wide'!$E$30="",0,'Peer City Scores'!I32)</f>
        <v>0</v>
      </c>
      <c r="M34" s="259">
        <f ca="1">IF('Community-Wide'!$E$30="",0,'Peer City Scores'!J32)</f>
        <v>0</v>
      </c>
      <c r="N34" s="258">
        <f ca="1">HLOOKUP($N$3,'City Scorecard Scores'!$B$1:$CZ$87,32,FALSE)</f>
        <v>0</v>
      </c>
    </row>
    <row r="35" spans="1:14" s="9" customFormat="1">
      <c r="B35" s="65" t="s">
        <v>120</v>
      </c>
      <c r="C35" s="85">
        <f>C36+C40+C50+C45</f>
        <v>29</v>
      </c>
      <c r="D35" s="85" t="e">
        <f>D36+D40+D50+D45</f>
        <v>#N/A</v>
      </c>
      <c r="E35" s="330"/>
      <c r="F35" s="260" t="e">
        <f t="shared" ref="F35:M35" si="9">F40+F50+F45+F36</f>
        <v>#N/A</v>
      </c>
      <c r="G35" s="260" t="e">
        <f t="shared" si="9"/>
        <v>#N/A</v>
      </c>
      <c r="H35" s="260" t="e">
        <f t="shared" si="9"/>
        <v>#N/A</v>
      </c>
      <c r="I35" s="260" t="e">
        <f t="shared" si="9"/>
        <v>#N/A</v>
      </c>
      <c r="J35" s="260" t="e">
        <f t="shared" si="9"/>
        <v>#N/A</v>
      </c>
      <c r="K35" s="260" t="e">
        <f t="shared" si="9"/>
        <v>#N/A</v>
      </c>
      <c r="L35" s="260" t="e">
        <f t="shared" si="9"/>
        <v>#N/A</v>
      </c>
      <c r="M35" s="260" t="e">
        <f t="shared" si="9"/>
        <v>#N/A</v>
      </c>
      <c r="N35" s="248">
        <f ca="1">HLOOKUP($N$3,'City Scorecard Scores'!$B$1:$CZ$87,33,FALSE)</f>
        <v>6</v>
      </c>
    </row>
    <row r="36" spans="1:14" s="9" customFormat="1">
      <c r="B36" s="38" t="str">
        <f ca="1">Buildings!B8</f>
        <v>Building Energy Codes</v>
      </c>
      <c r="C36" s="89">
        <f ca="1">IF(OR(Buildings!D5="Local Authority Permitted",Buildings!D5="Local Code Only"),8,5)</f>
        <v>5</v>
      </c>
      <c r="D36" s="86">
        <f ca="1">SUM(D37:D39)</f>
        <v>0</v>
      </c>
      <c r="E36" s="330"/>
      <c r="F36" s="261">
        <f ca="1">F37+F38+F39</f>
        <v>3</v>
      </c>
      <c r="G36" s="261">
        <f t="shared" ref="G36:M36" si="10">G37+G38+G39</f>
        <v>4.5</v>
      </c>
      <c r="H36" s="261">
        <f t="shared" si="10"/>
        <v>3</v>
      </c>
      <c r="I36" s="261">
        <f t="shared" si="10"/>
        <v>5.5</v>
      </c>
      <c r="J36" s="261">
        <f t="shared" si="10"/>
        <v>2.75</v>
      </c>
      <c r="K36" s="261">
        <f t="shared" si="10"/>
        <v>6</v>
      </c>
      <c r="L36" s="261">
        <f t="shared" si="10"/>
        <v>1.75</v>
      </c>
      <c r="M36" s="261">
        <f t="shared" si="10"/>
        <v>4.5</v>
      </c>
      <c r="N36" s="253">
        <f ca="1">HLOOKUP($N$3,'City Scorecard Scores'!$B$1:$CZ$87,34,FALSE)</f>
        <v>2.5</v>
      </c>
    </row>
    <row r="37" spans="1:14" s="9" customFormat="1" outlineLevel="1">
      <c r="B37" s="11" t="str">
        <f ca="1">Buildings!A11</f>
        <v xml:space="preserve">Residential Energy Code </v>
      </c>
      <c r="C37" s="71">
        <f ca="1">IF(OR(Buildings!D5="Local Code Only",Buildings!D5="Local Authority Permitted"),3,1.5)</f>
        <v>1.5</v>
      </c>
      <c r="D37" s="71" t="b">
        <f ca="1">IF(OR(ISBLANK(Buildings!E11),ISBLANK(Buildings!E12),ISBLANK(Buildings!D5)),"",IF(OR(Buildings!D5="State Authority Only",Buildings!D5="Local Code Only"),Buildings!E11,IF(AND(Buildings!D5="Local Authority Permitted",Buildings!E11=0),Buildings!E12,IF(AND(Buildings!D5="Local Authority Permitted",Buildings!E12=""),Buildings!E11))))</f>
        <v>0</v>
      </c>
      <c r="E37" s="330"/>
      <c r="F37" s="262">
        <f ca="1">IF(AND(Buildings!$E$11="",Buildings!$E$12=""),0,'Peer City Scores'!C35)</f>
        <v>0.5</v>
      </c>
      <c r="G37" s="262">
        <f ca="1">IF(AND(Buildings!$E$11="",Buildings!$E$12=""),0,'Peer City Scores'!D35)</f>
        <v>0.5</v>
      </c>
      <c r="H37" s="262">
        <f ca="1">IF(AND(Buildings!$E$11="",Buildings!$E$12=""),0,'Peer City Scores'!E35)</f>
        <v>0.5</v>
      </c>
      <c r="I37" s="262">
        <f ca="1">IF(AND(Buildings!$E$11="",Buildings!$E$12=""),0,'Peer City Scores'!F35)</f>
        <v>3</v>
      </c>
      <c r="J37" s="262">
        <f ca="1">IF(AND(Buildings!$E$11="",Buildings!$E$12=""),0,'Peer City Scores'!G35)</f>
        <v>0.25</v>
      </c>
      <c r="K37" s="262">
        <f ca="1">IF(AND(Buildings!$E$11="",Buildings!$E$12=""),0,'Peer City Scores'!H35)</f>
        <v>3</v>
      </c>
      <c r="L37" s="262">
        <f ca="1">IF(AND(Buildings!$E$11="",Buildings!$E$12=""),0,'Peer City Scores'!I35)</f>
        <v>0.25</v>
      </c>
      <c r="M37" s="262">
        <f ca="1">IF(AND(Buildings!$E$11="",Buildings!$E$12=""),0,'Peer City Scores'!J35)</f>
        <v>1.5</v>
      </c>
      <c r="N37" s="258">
        <f ca="1">HLOOKUP($N$3,'City Scorecard Scores'!$B$1:$CZ$87,35,FALSE)</f>
        <v>1</v>
      </c>
    </row>
    <row r="38" spans="1:14" s="9" customFormat="1" outlineLevel="1">
      <c r="B38" s="11" t="str">
        <f ca="1">Buildings!A13</f>
        <v xml:space="preserve">Commercial Energy Code </v>
      </c>
      <c r="C38" s="71">
        <f ca="1">IF(OR(Buildings!D6="Local Code Only",Buildings!D6="Local Authority Permitted"),3,1.5)</f>
        <v>1.5</v>
      </c>
      <c r="D38" s="71" t="b">
        <f ca="1">IF(OR(ISBLANK(Buildings!E13),ISBLANK(Buildings!E14),ISBLANK(Buildings!D6)),"",IF(OR(Buildings!D6="State Authority Only",Buildings!D6="Local Code Only"),Buildings!E13,IF(AND(Buildings!D6="Local Authority Permitted",Buildings!E13=0),Buildings!E14,IF(AND(Buildings!D6="Local Authority Permitted",Buildings!E14=""),Buildings!E13))))</f>
        <v>0</v>
      </c>
      <c r="E38" s="330"/>
      <c r="F38" s="262">
        <f ca="1">IF(AND(Buildings!$E$11="",Buildings!$E$12=""),0,'Peer City Scores'!C36)</f>
        <v>0.5</v>
      </c>
      <c r="G38" s="262">
        <f ca="1">IF(AND(Buildings!$E$11="",Buildings!$E$12=""),0,'Peer City Scores'!D36)</f>
        <v>2</v>
      </c>
      <c r="H38" s="262">
        <f ca="1">IF(AND(Buildings!$E$11="",Buildings!$E$12=""),0,'Peer City Scores'!E36)</f>
        <v>0.5</v>
      </c>
      <c r="I38" s="262">
        <f ca="1">IF(AND(Buildings!$E$11="",Buildings!$E$12=""),0,'Peer City Scores'!F36)</f>
        <v>0.5</v>
      </c>
      <c r="J38" s="262">
        <f ca="1">IF(AND(Buildings!$E$11="",Buildings!$E$12=""),0,'Peer City Scores'!G36)</f>
        <v>0.5</v>
      </c>
      <c r="K38" s="262">
        <f ca="1">IF(AND(Buildings!$E$11="",Buildings!$E$12=""),0,'Peer City Scores'!H36)</f>
        <v>3</v>
      </c>
      <c r="L38" s="262">
        <f ca="1">IF(AND(Buildings!$E$11="",Buildings!$E$12=""),0,'Peer City Scores'!I36)</f>
        <v>0.5</v>
      </c>
      <c r="M38" s="262">
        <f ca="1">IF(AND(Buildings!$E$11="",Buildings!$E$12=""),0,'Peer City Scores'!J36)</f>
        <v>1.5</v>
      </c>
      <c r="N38" s="258">
        <f ca="1">HLOOKUP($N$3,'City Scorecard Scores'!$B$1:$CZ$87,36,FALSE)</f>
        <v>1</v>
      </c>
    </row>
    <row r="39" spans="1:14" s="9" customFormat="1" outlineLevel="1">
      <c r="B39" s="11" t="str">
        <f ca="1">Buildings!A15</f>
        <v xml:space="preserve">Spending on Compliance </v>
      </c>
      <c r="C39" s="71">
        <v>2</v>
      </c>
      <c r="D39" s="71" t="str">
        <f ca="1">Buildings!E15</f>
        <v/>
      </c>
      <c r="E39" s="330"/>
      <c r="F39" s="262">
        <f ca="1">IF(AND(Buildings!$E$11="",Buildings!$E$12=""),0,'Peer City Scores'!C37)</f>
        <v>2</v>
      </c>
      <c r="G39" s="262">
        <f ca="1">IF(AND(Buildings!$E$11="",Buildings!$E$12=""),0,'Peer City Scores'!D37)</f>
        <v>2</v>
      </c>
      <c r="H39" s="262">
        <f ca="1">IF(AND(Buildings!$E$11="",Buildings!$E$12=""),0,'Peer City Scores'!E37)</f>
        <v>2</v>
      </c>
      <c r="I39" s="262">
        <f ca="1">IF(AND(Buildings!$E$11="",Buildings!$E$12=""),0,'Peer City Scores'!F37)</f>
        <v>2</v>
      </c>
      <c r="J39" s="262">
        <f ca="1">IF(AND(Buildings!$E$11="",Buildings!$E$12=""),0,'Peer City Scores'!G37)</f>
        <v>2</v>
      </c>
      <c r="K39" s="262">
        <f ca="1">IF(AND(Buildings!$E$11="",Buildings!$E$12=""),0,'Peer City Scores'!H37)</f>
        <v>0</v>
      </c>
      <c r="L39" s="262">
        <f ca="1">IF(AND(Buildings!$E$11="",Buildings!$E$12=""),0,'Peer City Scores'!I37)</f>
        <v>1</v>
      </c>
      <c r="M39" s="262">
        <f ca="1">IF(AND(Buildings!$E$11="",Buildings!$E$12=""),0,'Peer City Scores'!J37)</f>
        <v>1.5</v>
      </c>
      <c r="N39" s="258">
        <f ca="1">HLOOKUP($N$3,'City Scorecard Scores'!$B$1:$CZ$87,37,FALSE)</f>
        <v>0.5</v>
      </c>
    </row>
    <row r="40" spans="1:14" s="9" customFormat="1">
      <c r="B40" s="38" t="str">
        <f ca="1">Buildings!B20</f>
        <v>Improving Access to Energy Usage Information</v>
      </c>
      <c r="C40" s="86">
        <v>9</v>
      </c>
      <c r="D40" s="86">
        <f ca="1">SUM(D41:D44)</f>
        <v>0</v>
      </c>
      <c r="E40" s="330"/>
      <c r="F40" s="263">
        <f ca="1">F41+F42+F43+F44</f>
        <v>0</v>
      </c>
      <c r="G40" s="264">
        <f t="shared" ref="G40:M40" si="11">G41+G42+G43+G44</f>
        <v>0</v>
      </c>
      <c r="H40" s="250">
        <f t="shared" si="11"/>
        <v>0</v>
      </c>
      <c r="I40" s="264">
        <f t="shared" si="11"/>
        <v>0</v>
      </c>
      <c r="J40" s="264">
        <f t="shared" si="11"/>
        <v>0</v>
      </c>
      <c r="K40" s="264">
        <f t="shared" si="11"/>
        <v>0</v>
      </c>
      <c r="L40" s="250">
        <f t="shared" si="11"/>
        <v>0</v>
      </c>
      <c r="M40" s="264">
        <f t="shared" si="11"/>
        <v>0</v>
      </c>
      <c r="N40" s="253">
        <f ca="1">HLOOKUP($N$3,'City Scorecard Scores'!$B$1:$CZ$87,38,FALSE)</f>
        <v>0</v>
      </c>
    </row>
    <row r="41" spans="1:14" s="9" customFormat="1" outlineLevel="1">
      <c r="B41" s="68" t="str">
        <f ca="1">Buildings!A23</f>
        <v>Upfront Code Support</v>
      </c>
      <c r="C41" s="71">
        <v>2</v>
      </c>
      <c r="D41" s="71" t="str">
        <f ca="1">Buildings!E23</f>
        <v/>
      </c>
      <c r="E41" s="330"/>
      <c r="F41" s="262">
        <f ca="1">IF(Buildings!$E$23="",0,'Peer City Scores'!C39)</f>
        <v>0</v>
      </c>
      <c r="G41" s="262">
        <f ca="1">IF(Buildings!$E$23="",0,'Peer City Scores'!D39)</f>
        <v>0</v>
      </c>
      <c r="H41" s="262">
        <f ca="1">IF(Buildings!$E$23="",0,'Peer City Scores'!E39)</f>
        <v>0</v>
      </c>
      <c r="I41" s="262">
        <f ca="1">IF(Buildings!$E$23="",0,'Peer City Scores'!F39)</f>
        <v>0</v>
      </c>
      <c r="J41" s="262">
        <f ca="1">IF(Buildings!$E$23="",0,'Peer City Scores'!G39)</f>
        <v>0</v>
      </c>
      <c r="K41" s="262">
        <f ca="1">IF(Buildings!$E$23="",0,'Peer City Scores'!H39)</f>
        <v>0</v>
      </c>
      <c r="L41" s="262">
        <f ca="1">IF(Buildings!$E$23="",0,'Peer City Scores'!I39)</f>
        <v>0</v>
      </c>
      <c r="M41" s="262">
        <f ca="1">IF(Buildings!$E$23="",0,'Peer City Scores'!J39)</f>
        <v>0</v>
      </c>
      <c r="N41" s="258">
        <f ca="1">HLOOKUP($N$3,'City Scorecard Scores'!$B$1:$CZ$87,39,FALSE)</f>
        <v>0</v>
      </c>
    </row>
    <row r="42" spans="1:14" s="9" customFormat="1" outlineLevel="1">
      <c r="A42" s="69"/>
      <c r="B42" s="68" t="str">
        <f ca="1">Buildings!A24</f>
        <v>Energy Audit  Requirements</v>
      </c>
      <c r="C42" s="71">
        <v>1</v>
      </c>
      <c r="D42" s="71">
        <f ca="1">Buildings!E24</f>
        <v>0</v>
      </c>
      <c r="E42" s="330"/>
      <c r="F42" s="262">
        <f ca="1">IF(Buildings!$E$23="",0,'Peer City Scores'!C40)</f>
        <v>0</v>
      </c>
      <c r="G42" s="262">
        <f ca="1">IF(Buildings!$E$23="",0,'Peer City Scores'!D40)</f>
        <v>0</v>
      </c>
      <c r="H42" s="262">
        <f ca="1">IF(Buildings!$E$23="",0,'Peer City Scores'!E40)</f>
        <v>0</v>
      </c>
      <c r="I42" s="262">
        <f ca="1">IF(Buildings!$E$23="",0,'Peer City Scores'!F40)</f>
        <v>0</v>
      </c>
      <c r="J42" s="262">
        <f ca="1">IF(Buildings!$E$23="",0,'Peer City Scores'!G40)</f>
        <v>0</v>
      </c>
      <c r="K42" s="262">
        <f ca="1">IF(Buildings!$E$23="",0,'Peer City Scores'!H40)</f>
        <v>0</v>
      </c>
      <c r="L42" s="262">
        <f ca="1">IF(Buildings!$E$23="",0,'Peer City Scores'!I40)</f>
        <v>0</v>
      </c>
      <c r="M42" s="262">
        <f ca="1">IF(Buildings!$E$23="",0,'Peer City Scores'!J40)</f>
        <v>0</v>
      </c>
      <c r="N42" s="258">
        <f ca="1">HLOOKUP($N$3,'City Scorecard Scores'!$B$1:$CZ$87,40,FALSE)</f>
        <v>0</v>
      </c>
    </row>
    <row r="43" spans="1:14" s="9" customFormat="1" outlineLevel="1">
      <c r="A43" s="69"/>
      <c r="B43" s="68" t="str">
        <f ca="1">Buildings!A25</f>
        <v>Commercial Benchmarking and Disclosure Policies</v>
      </c>
      <c r="C43" s="71">
        <v>3</v>
      </c>
      <c r="D43" s="71">
        <f ca="1">IF(OR(Buildings!E25="",Buildings!E26=""),"",Buildings!E25+Buildings!E26)</f>
        <v>0</v>
      </c>
      <c r="E43" s="330"/>
      <c r="F43" s="262">
        <f ca="1">IF(Buildings!$E$23="",0,'Peer City Scores'!C41)</f>
        <v>0</v>
      </c>
      <c r="G43" s="262">
        <f ca="1">IF(Buildings!$E$23="",0,'Peer City Scores'!D41)</f>
        <v>0</v>
      </c>
      <c r="H43" s="262">
        <f ca="1">IF(Buildings!$E$23="",0,'Peer City Scores'!E41)</f>
        <v>0</v>
      </c>
      <c r="I43" s="262">
        <f ca="1">IF(Buildings!$E$23="",0,'Peer City Scores'!F41)</f>
        <v>0</v>
      </c>
      <c r="J43" s="262">
        <f ca="1">IF(Buildings!$E$23="",0,'Peer City Scores'!G41)</f>
        <v>0</v>
      </c>
      <c r="K43" s="262">
        <f ca="1">IF(Buildings!$E$23="",0,'Peer City Scores'!H41)</f>
        <v>0</v>
      </c>
      <c r="L43" s="262">
        <f ca="1">IF(Buildings!$E$23="",0,'Peer City Scores'!I41)</f>
        <v>0</v>
      </c>
      <c r="M43" s="262">
        <f ca="1">IF(Buildings!$E$23="",0,'Peer City Scores'!J41)</f>
        <v>0</v>
      </c>
      <c r="N43" s="258">
        <f ca="1">HLOOKUP($N$3,'City Scorecard Scores'!$B$1:$CZ$87,41,FALSE)</f>
        <v>0</v>
      </c>
    </row>
    <row r="44" spans="1:14" s="9" customFormat="1" outlineLevel="1">
      <c r="A44" s="69"/>
      <c r="B44" s="68" t="str">
        <f ca="1">Buildings!A27</f>
        <v>Residential Benchmarking, Rating, and Disclosure Policies</v>
      </c>
      <c r="C44" s="71">
        <v>3</v>
      </c>
      <c r="D44" s="71">
        <f ca="1">IF(OR(Buildings!E27="",Buildings!E28="",Buildings!E29=""),"",Buildings!E27+Buildings!E28+Buildings!E29)</f>
        <v>0</v>
      </c>
      <c r="E44" s="330"/>
      <c r="F44" s="262">
        <f ca="1">IF(Buildings!$E$23="",0,'Peer City Scores'!C42)</f>
        <v>0</v>
      </c>
      <c r="G44" s="262">
        <f ca="1">IF(Buildings!$E$23="",0,'Peer City Scores'!D42)</f>
        <v>0</v>
      </c>
      <c r="H44" s="262">
        <f ca="1">IF(Buildings!$E$23="",0,'Peer City Scores'!E42)</f>
        <v>0</v>
      </c>
      <c r="I44" s="262">
        <f ca="1">IF(Buildings!$E$23="",0,'Peer City Scores'!F42)</f>
        <v>0</v>
      </c>
      <c r="J44" s="262">
        <f ca="1">IF(Buildings!$E$23="",0,'Peer City Scores'!G42)</f>
        <v>0</v>
      </c>
      <c r="K44" s="262">
        <f ca="1">IF(Buildings!$E$23="",0,'Peer City Scores'!H42)</f>
        <v>0</v>
      </c>
      <c r="L44" s="262">
        <f ca="1">IF(Buildings!$E$23="",0,'Peer City Scores'!I42)</f>
        <v>0</v>
      </c>
      <c r="M44" s="262">
        <f ca="1">IF(Buildings!$E$23="",0,'Peer City Scores'!J42)</f>
        <v>0</v>
      </c>
      <c r="N44" s="258">
        <f ca="1">HLOOKUP($N$3,'City Scorecard Scores'!$B$1:$CZ$87,42,FALSE)</f>
        <v>0</v>
      </c>
    </row>
    <row r="45" spans="1:14" s="9" customFormat="1">
      <c r="A45" s="69"/>
      <c r="B45" s="38" t="str">
        <f ca="1">Buildings!B34</f>
        <v>Comprehensive Energy Management Strategy in Buildings</v>
      </c>
      <c r="C45" s="90">
        <f ca="1">IF(OR(Buildings!D5="Local Authority Permitted",Buildings!D5="Local Code Only"),3,6)</f>
        <v>6</v>
      </c>
      <c r="D45" s="86">
        <f ca="1">SUM(D46:D49)</f>
        <v>0</v>
      </c>
      <c r="E45" s="330"/>
      <c r="F45" s="256">
        <f ca="1">F46+F47+F48+F49</f>
        <v>1</v>
      </c>
      <c r="G45" s="256">
        <f t="shared" ref="G45:M45" si="12">G46+G47+G48+G49</f>
        <v>0</v>
      </c>
      <c r="H45" s="256">
        <f t="shared" si="12"/>
        <v>0</v>
      </c>
      <c r="I45" s="256">
        <f t="shared" si="12"/>
        <v>0</v>
      </c>
      <c r="J45" s="256">
        <f t="shared" si="12"/>
        <v>1</v>
      </c>
      <c r="K45" s="256">
        <f t="shared" si="12"/>
        <v>0</v>
      </c>
      <c r="L45" s="256">
        <f t="shared" si="12"/>
        <v>0</v>
      </c>
      <c r="M45" s="256">
        <f t="shared" si="12"/>
        <v>0</v>
      </c>
      <c r="N45" s="253">
        <f ca="1">HLOOKUP($N$3,'City Scorecard Scores'!$B$1:$CZ$87,43,FALSE)</f>
        <v>1</v>
      </c>
    </row>
    <row r="46" spans="1:14" s="9" customFormat="1">
      <c r="A46" s="69"/>
      <c r="B46" s="11" t="str">
        <f ca="1">Buildings!A37</f>
        <v>Community Building Energy Savings Target</v>
      </c>
      <c r="C46" s="71">
        <v>1</v>
      </c>
      <c r="D46" s="71">
        <f ca="1">Buildings!E37</f>
        <v>0</v>
      </c>
      <c r="E46" s="330"/>
      <c r="F46" s="262">
        <f ca="1">IF(Buildings!$E$37="",0,'Peer City Scores'!C44)</f>
        <v>1</v>
      </c>
      <c r="G46" s="262">
        <f ca="1">IF(Buildings!$E$37="",0,'Peer City Scores'!D44)</f>
        <v>0</v>
      </c>
      <c r="H46" s="262">
        <f ca="1">IF(Buildings!$E$37="",0,'Peer City Scores'!E44)</f>
        <v>0</v>
      </c>
      <c r="I46" s="262">
        <f ca="1">IF(Buildings!$E$37="",0,'Peer City Scores'!F44)</f>
        <v>0</v>
      </c>
      <c r="J46" s="262">
        <f ca="1">IF(Buildings!$E$37="",0,'Peer City Scores'!G44)</f>
        <v>1</v>
      </c>
      <c r="K46" s="262">
        <f ca="1">IF(Buildings!$E$37="",0,'Peer City Scores'!H44)</f>
        <v>0</v>
      </c>
      <c r="L46" s="262">
        <f ca="1">IF(Buildings!$E$37="",0,'Peer City Scores'!I44)</f>
        <v>0</v>
      </c>
      <c r="M46" s="262">
        <f ca="1">IF(Buildings!$E$37="",0,'Peer City Scores'!J44)</f>
        <v>0</v>
      </c>
      <c r="N46" s="258">
        <f ca="1">HLOOKUP($N$3,'City Scorecard Scores'!$B$1:$CZ$87,44,FALSE)</f>
        <v>1</v>
      </c>
    </row>
    <row r="47" spans="1:14" s="9" customFormat="1" outlineLevel="1">
      <c r="A47" s="69"/>
      <c r="B47" s="11" t="str">
        <f ca="1">Buildings!A38</f>
        <v>Residential Energy Code Advocacy</v>
      </c>
      <c r="C47" s="71">
        <f ca="1">IF(OR(Buildings!D5="Local Authority Permitted",Buildings!D5="Local Code Only"),0,1.5)</f>
        <v>1.5</v>
      </c>
      <c r="D47" s="71">
        <f ca="1">Buildings!E38</f>
        <v>0</v>
      </c>
      <c r="E47" s="330"/>
      <c r="F47" s="262">
        <f ca="1">IF(Buildings!$E$37="",0,'Peer City Scores'!C45)</f>
        <v>0</v>
      </c>
      <c r="G47" s="262">
        <f ca="1">IF(Buildings!$E$37="",0,'Peer City Scores'!D45)</f>
        <v>0</v>
      </c>
      <c r="H47" s="262">
        <f ca="1">IF(Buildings!$E$37="",0,'Peer City Scores'!E45)</f>
        <v>0</v>
      </c>
      <c r="I47" s="262">
        <f ca="1">IF(Buildings!$E$37="",0,'Peer City Scores'!F45)</f>
        <v>0</v>
      </c>
      <c r="J47" s="262">
        <f ca="1">IF(Buildings!$E$37="",0,'Peer City Scores'!G45)</f>
        <v>0</v>
      </c>
      <c r="K47" s="262">
        <f ca="1">IF(Buildings!$E$37="",0,'Peer City Scores'!H45)</f>
        <v>0</v>
      </c>
      <c r="L47" s="262">
        <f ca="1">IF(Buildings!$E$37="",0,'Peer City Scores'!I45)</f>
        <v>0</v>
      </c>
      <c r="M47" s="262">
        <f ca="1">IF(Buildings!$E$37="",0,'Peer City Scores'!J45)</f>
        <v>0</v>
      </c>
      <c r="N47" s="258">
        <f ca="1">HLOOKUP($N$3,'City Scorecard Scores'!$B$1:$CZ$87,45,FALSE)</f>
        <v>0</v>
      </c>
    </row>
    <row r="48" spans="1:14" s="9" customFormat="1" outlineLevel="1">
      <c r="A48" s="69"/>
      <c r="B48" s="11" t="str">
        <f ca="1">Buildings!A39</f>
        <v>Commercial Energy Code Advocacy</v>
      </c>
      <c r="C48" s="71">
        <f ca="1">IF(OR(Buildings!D6="Local Authority Permitted",Buildings!D6="Local Code Only"),0,1.5)</f>
        <v>1.5</v>
      </c>
      <c r="D48" s="71">
        <f ca="1">Buildings!E39</f>
        <v>0</v>
      </c>
      <c r="E48" s="330"/>
      <c r="F48" s="262">
        <f ca="1">IF(Buildings!$E$37="",0,'Peer City Scores'!C46)</f>
        <v>0</v>
      </c>
      <c r="G48" s="262">
        <f ca="1">IF(Buildings!$E$37="",0,'Peer City Scores'!D46)</f>
        <v>0</v>
      </c>
      <c r="H48" s="262">
        <f ca="1">IF(Buildings!$E$37="",0,'Peer City Scores'!E46)</f>
        <v>0</v>
      </c>
      <c r="I48" s="262">
        <f ca="1">IF(Buildings!$E$37="",0,'Peer City Scores'!F46)</f>
        <v>0</v>
      </c>
      <c r="J48" s="262">
        <f ca="1">IF(Buildings!$E$37="",0,'Peer City Scores'!G46)</f>
        <v>0</v>
      </c>
      <c r="K48" s="262">
        <f ca="1">IF(Buildings!$E$37="",0,'Peer City Scores'!H46)</f>
        <v>0</v>
      </c>
      <c r="L48" s="262">
        <f ca="1">IF(Buildings!$E$37="",0,'Peer City Scores'!I46)</f>
        <v>0</v>
      </c>
      <c r="M48" s="262">
        <f ca="1">IF(Buildings!$E$37="",0,'Peer City Scores'!J46)</f>
        <v>0</v>
      </c>
      <c r="N48" s="258">
        <f ca="1">HLOOKUP($N$3,'City Scorecard Scores'!$B$1:$CZ$87,46,FALSE)</f>
        <v>0</v>
      </c>
    </row>
    <row r="49" spans="1:14" s="9" customFormat="1" outlineLevel="1">
      <c r="A49" s="69"/>
      <c r="B49" s="11" t="str">
        <f ca="1">Buildings!A40</f>
        <v>Third-Party Compliance Programs</v>
      </c>
      <c r="C49" s="71">
        <v>2</v>
      </c>
      <c r="D49" s="71">
        <f ca="1">Buildings!E40</f>
        <v>0</v>
      </c>
      <c r="E49" s="330"/>
      <c r="F49" s="262">
        <f ca="1">IF(Buildings!$E$37="",0,'Peer City Scores'!C47)</f>
        <v>0</v>
      </c>
      <c r="G49" s="262">
        <f ca="1">IF(Buildings!$E$37="",0,'Peer City Scores'!D47)</f>
        <v>0</v>
      </c>
      <c r="H49" s="262">
        <f ca="1">IF(Buildings!$E$37="",0,'Peer City Scores'!E47)</f>
        <v>0</v>
      </c>
      <c r="I49" s="262">
        <f ca="1">IF(Buildings!$E$37="",0,'Peer City Scores'!F47)</f>
        <v>0</v>
      </c>
      <c r="J49" s="262">
        <f ca="1">IF(Buildings!$E$37="",0,'Peer City Scores'!G47)</f>
        <v>0</v>
      </c>
      <c r="K49" s="262">
        <f ca="1">IF(Buildings!$E$37="",0,'Peer City Scores'!H47)</f>
        <v>0</v>
      </c>
      <c r="L49" s="262">
        <f ca="1">IF(Buildings!$E$37="",0,'Peer City Scores'!I47)</f>
        <v>0</v>
      </c>
      <c r="M49" s="262">
        <f ca="1">IF(Buildings!$E$37="",0,'Peer City Scores'!J47)</f>
        <v>0</v>
      </c>
      <c r="N49" s="258">
        <f ca="1">HLOOKUP($N$3,'City Scorecard Scores'!$B$1:$CZ$87,47,FALSE)</f>
        <v>0</v>
      </c>
    </row>
    <row r="50" spans="1:14" s="9" customFormat="1">
      <c r="A50" s="69"/>
      <c r="B50" s="38" t="str">
        <f ca="1">Buildings!B45</f>
        <v>Incentives for More Efficient Buildings</v>
      </c>
      <c r="C50" s="86">
        <v>9</v>
      </c>
      <c r="D50" s="86" t="e">
        <f ca="1">SUM(D51:D54)</f>
        <v>#N/A</v>
      </c>
      <c r="E50" s="330"/>
      <c r="F50" s="256" t="e">
        <f ca="1">F51+F52+F53+F54</f>
        <v>#N/A</v>
      </c>
      <c r="G50" s="256" t="e">
        <f t="shared" ref="G50:M50" si="13">G51+G52+G53+G54</f>
        <v>#N/A</v>
      </c>
      <c r="H50" s="256" t="e">
        <f t="shared" si="13"/>
        <v>#N/A</v>
      </c>
      <c r="I50" s="256" t="e">
        <f t="shared" si="13"/>
        <v>#N/A</v>
      </c>
      <c r="J50" s="256" t="e">
        <f t="shared" si="13"/>
        <v>#N/A</v>
      </c>
      <c r="K50" s="256" t="e">
        <f t="shared" si="13"/>
        <v>#N/A</v>
      </c>
      <c r="L50" s="256" t="e">
        <f t="shared" si="13"/>
        <v>#N/A</v>
      </c>
      <c r="M50" s="256" t="e">
        <f t="shared" si="13"/>
        <v>#N/A</v>
      </c>
      <c r="N50" s="253">
        <f ca="1">HLOOKUP($N$3,'City Scorecard Scores'!$B$1:$CZ$87,48,FALSE)</f>
        <v>2.5</v>
      </c>
    </row>
    <row r="51" spans="1:14" s="9" customFormat="1" outlineLevel="1">
      <c r="B51" s="11" t="str">
        <f ca="1">Buildings!A48</f>
        <v>Incentives or Finance Programs</v>
      </c>
      <c r="C51" s="71">
        <v>3</v>
      </c>
      <c r="D51" s="71" t="e">
        <f ca="1">Buildings!E48</f>
        <v>#N/A</v>
      </c>
      <c r="E51" s="330"/>
      <c r="F51" s="262" t="e">
        <f ca="1">IF(Buildings!$E$48="",0,'Peer City Scores'!C49)</f>
        <v>#N/A</v>
      </c>
      <c r="G51" s="262" t="e">
        <f ca="1">IF(Buildings!$E$48="",0,'Peer City Scores'!D49)</f>
        <v>#N/A</v>
      </c>
      <c r="H51" s="262" t="e">
        <f ca="1">IF(Buildings!$E$48="",0,'Peer City Scores'!E49)</f>
        <v>#N/A</v>
      </c>
      <c r="I51" s="262" t="e">
        <f ca="1">IF(Buildings!$E$48="",0,'Peer City Scores'!F49)</f>
        <v>#N/A</v>
      </c>
      <c r="J51" s="262" t="e">
        <f ca="1">IF(Buildings!$E$48="",0,'Peer City Scores'!G49)</f>
        <v>#N/A</v>
      </c>
      <c r="K51" s="262" t="e">
        <f ca="1">IF(Buildings!$E$48="",0,'Peer City Scores'!H49)</f>
        <v>#N/A</v>
      </c>
      <c r="L51" s="262" t="e">
        <f ca="1">IF(Buildings!$E$48="",0,'Peer City Scores'!I49)</f>
        <v>#N/A</v>
      </c>
      <c r="M51" s="262" t="e">
        <f ca="1">IF(Buildings!$E$48="",0,'Peer City Scores'!J49)</f>
        <v>#N/A</v>
      </c>
      <c r="N51" s="258">
        <f ca="1">HLOOKUP($N$3,'City Scorecard Scores'!$B$1:$CZ$87,49,FALSE)</f>
        <v>0</v>
      </c>
    </row>
    <row r="52" spans="1:14" s="9" customFormat="1" outlineLevel="1">
      <c r="B52" s="11" t="str">
        <f ca="1">Buildings!A49</f>
        <v>Comprehensive Efficiency Services</v>
      </c>
      <c r="C52" s="71">
        <v>2</v>
      </c>
      <c r="D52" s="71">
        <f ca="1">Buildings!E49</f>
        <v>2</v>
      </c>
      <c r="E52" s="330"/>
      <c r="F52" s="262" t="e">
        <f ca="1">IF(Buildings!$E$48="",0,'Peer City Scores'!C50)</f>
        <v>#N/A</v>
      </c>
      <c r="G52" s="262" t="e">
        <f ca="1">IF(Buildings!$E$48="",0,'Peer City Scores'!D50)</f>
        <v>#N/A</v>
      </c>
      <c r="H52" s="262" t="e">
        <f ca="1">IF(Buildings!$E$48="",0,'Peer City Scores'!E50)</f>
        <v>#N/A</v>
      </c>
      <c r="I52" s="262" t="e">
        <f ca="1">IF(Buildings!$E$48="",0,'Peer City Scores'!F50)</f>
        <v>#N/A</v>
      </c>
      <c r="J52" s="262" t="e">
        <f ca="1">IF(Buildings!$E$48="",0,'Peer City Scores'!G50)</f>
        <v>#N/A</v>
      </c>
      <c r="K52" s="262" t="e">
        <f ca="1">IF(Buildings!$E$48="",0,'Peer City Scores'!H50)</f>
        <v>#N/A</v>
      </c>
      <c r="L52" s="262" t="e">
        <f ca="1">IF(Buildings!$E$48="",0,'Peer City Scores'!I50)</f>
        <v>#N/A</v>
      </c>
      <c r="M52" s="262" t="e">
        <f ca="1">IF(Buildings!$E$48="",0,'Peer City Scores'!J50)</f>
        <v>#N/A</v>
      </c>
      <c r="N52" s="258">
        <f ca="1">HLOOKUP($N$3,'City Scorecard Scores'!$B$1:$CZ$87,50,FALSE)</f>
        <v>2</v>
      </c>
    </row>
    <row r="53" spans="1:14" s="9" customFormat="1" outlineLevel="1">
      <c r="B53" s="11" t="str">
        <f ca="1">Buildings!A50</f>
        <v>Above Code Requirements for Certain Private Buildings</v>
      </c>
      <c r="C53" s="71">
        <v>2</v>
      </c>
      <c r="D53" s="71" t="str">
        <f ca="1">Buildings!E50</f>
        <v/>
      </c>
      <c r="E53" s="330"/>
      <c r="F53" s="262" t="e">
        <f ca="1">IF(Buildings!$E$48="",0,'Peer City Scores'!C51)</f>
        <v>#N/A</v>
      </c>
      <c r="G53" s="262" t="e">
        <f ca="1">IF(Buildings!$E$48="",0,'Peer City Scores'!D51)</f>
        <v>#N/A</v>
      </c>
      <c r="H53" s="262" t="e">
        <f ca="1">IF(Buildings!$E$48="",0,'Peer City Scores'!E51)</f>
        <v>#N/A</v>
      </c>
      <c r="I53" s="262" t="e">
        <f ca="1">IF(Buildings!$E$48="",0,'Peer City Scores'!F51)</f>
        <v>#N/A</v>
      </c>
      <c r="J53" s="262" t="e">
        <f ca="1">IF(Buildings!$E$48="",0,'Peer City Scores'!G51)</f>
        <v>#N/A</v>
      </c>
      <c r="K53" s="262" t="e">
        <f ca="1">IF(Buildings!$E$48="",0,'Peer City Scores'!H51)</f>
        <v>#N/A</v>
      </c>
      <c r="L53" s="262" t="e">
        <f ca="1">IF(Buildings!$E$48="",0,'Peer City Scores'!I51)</f>
        <v>#N/A</v>
      </c>
      <c r="M53" s="262" t="e">
        <f ca="1">IF(Buildings!$E$48="",0,'Peer City Scores'!J51)</f>
        <v>#N/A</v>
      </c>
      <c r="N53" s="258">
        <f ca="1">HLOOKUP($N$3,'City Scorecard Scores'!$B$1:$CZ$87,51,FALSE)</f>
        <v>0.5</v>
      </c>
    </row>
    <row r="54" spans="1:14" s="9" customFormat="1" outlineLevel="1">
      <c r="B54" s="11" t="str">
        <f ca="1">Buildings!A51</f>
        <v>Retrofit Requirements</v>
      </c>
      <c r="C54" s="71">
        <v>2</v>
      </c>
      <c r="D54" s="71">
        <f ca="1">Buildings!E51</f>
        <v>0</v>
      </c>
      <c r="E54" s="330"/>
      <c r="F54" s="262" t="e">
        <f ca="1">IF(Buildings!$E$48="",0,'Peer City Scores'!C52)</f>
        <v>#N/A</v>
      </c>
      <c r="G54" s="262" t="e">
        <f ca="1">IF(Buildings!$E$48="",0,'Peer City Scores'!D52)</f>
        <v>#N/A</v>
      </c>
      <c r="H54" s="262" t="e">
        <f ca="1">IF(Buildings!$E$48="",0,'Peer City Scores'!E52)</f>
        <v>#N/A</v>
      </c>
      <c r="I54" s="262" t="e">
        <f ca="1">IF(Buildings!$E$48="",0,'Peer City Scores'!F52)</f>
        <v>#N/A</v>
      </c>
      <c r="J54" s="262" t="e">
        <f ca="1">IF(Buildings!$E$48="",0,'Peer City Scores'!G52)</f>
        <v>#N/A</v>
      </c>
      <c r="K54" s="262" t="e">
        <f ca="1">IF(Buildings!$E$48="",0,'Peer City Scores'!H52)</f>
        <v>#N/A</v>
      </c>
      <c r="L54" s="262" t="e">
        <f ca="1">IF(Buildings!$E$48="",0,'Peer City Scores'!I52)</f>
        <v>#N/A</v>
      </c>
      <c r="M54" s="262" t="e">
        <f ca="1">IF(Buildings!$E$48="",0,'Peer City Scores'!J52)</f>
        <v>#N/A</v>
      </c>
      <c r="N54" s="258">
        <f ca="1">HLOOKUP($N$3,'City Scorecard Scores'!$B$1:$CZ$87,52,FALSE)</f>
        <v>0</v>
      </c>
    </row>
    <row r="55" spans="1:14" s="9" customFormat="1">
      <c r="B55" s="65" t="s">
        <v>122</v>
      </c>
      <c r="C55" s="85">
        <f>C56+C61+C63</f>
        <v>18</v>
      </c>
      <c r="D55" s="88" t="e">
        <f>D56+D61+D63</f>
        <v>#VALUE!</v>
      </c>
      <c r="E55" s="330"/>
      <c r="F55" s="265">
        <f t="shared" ref="F55:M55" si="14">F56+F61+F63</f>
        <v>1.75</v>
      </c>
      <c r="G55" s="265">
        <f t="shared" si="14"/>
        <v>6</v>
      </c>
      <c r="H55" s="265">
        <f t="shared" si="14"/>
        <v>4.5</v>
      </c>
      <c r="I55" s="265">
        <f t="shared" si="14"/>
        <v>3</v>
      </c>
      <c r="J55" s="265">
        <f t="shared" si="14"/>
        <v>1</v>
      </c>
      <c r="K55" s="265">
        <f t="shared" si="14"/>
        <v>3.75</v>
      </c>
      <c r="L55" s="265">
        <f t="shared" si="14"/>
        <v>3.5</v>
      </c>
      <c r="M55" s="265">
        <f t="shared" si="14"/>
        <v>6.75</v>
      </c>
      <c r="N55" s="248">
        <f ca="1">HLOOKUP($N$3,'City Scorecard Scores'!$B$1:$CZ$87,53,FALSE)</f>
        <v>6.25</v>
      </c>
    </row>
    <row r="56" spans="1:14" s="9" customFormat="1">
      <c r="B56" s="38" t="str">
        <f ca="1">Utility!B16</f>
        <v>Getting Started Through Incentives</v>
      </c>
      <c r="C56" s="86">
        <v>9.5</v>
      </c>
      <c r="D56" s="86" t="e">
        <f ca="1">SUM(D57:D60)</f>
        <v>#VALUE!</v>
      </c>
      <c r="E56" s="330"/>
      <c r="F56" s="261">
        <f ca="1">F57+F58+F59+F60</f>
        <v>1.75</v>
      </c>
      <c r="G56" s="261">
        <f t="shared" ref="G56:M56" si="15">G57+G58+G59+G60</f>
        <v>4</v>
      </c>
      <c r="H56" s="261">
        <f t="shared" si="15"/>
        <v>4.5</v>
      </c>
      <c r="I56" s="261">
        <f t="shared" si="15"/>
        <v>2</v>
      </c>
      <c r="J56" s="261">
        <f t="shared" si="15"/>
        <v>0.5</v>
      </c>
      <c r="K56" s="261">
        <f t="shared" si="15"/>
        <v>2.25</v>
      </c>
      <c r="L56" s="261">
        <f t="shared" si="15"/>
        <v>2</v>
      </c>
      <c r="M56" s="261">
        <f t="shared" si="15"/>
        <v>6.25</v>
      </c>
      <c r="N56" s="253">
        <f ca="1">HLOOKUP($N$3,'City Scorecard Scores'!$B$1:$CZ$87,54,FALSE)</f>
        <v>2.25</v>
      </c>
    </row>
    <row r="57" spans="1:14" s="9" customFormat="1" outlineLevel="1">
      <c r="B57" s="11" t="str">
        <f ca="1">Utility!A19</f>
        <v xml:space="preserve">Electric Efficiency Spending </v>
      </c>
      <c r="C57" s="71">
        <v>4</v>
      </c>
      <c r="D57" s="71">
        <f ca="1">IF(Utility!D6="Municipally Owned Utility",Utility!E19,IF(ISBLANK(Utility!D21),"",IF(ISBLANK(Utility!D20),"",IF(ISBLANK(Utility!D19),"",IF(Utility!D6="Investor Owned Utility",SUM(Utility!E19+Utility!E20+Utility!E21))))))</f>
        <v>2.5</v>
      </c>
      <c r="E57" s="330"/>
      <c r="F57" s="262">
        <f ca="1">IF(AND(Utility!$E$19="",Utility!$E$20="",Utility!$E$21=""),0,'Peer City Scores'!C55)</f>
        <v>1</v>
      </c>
      <c r="G57" s="262">
        <f ca="1">IF(AND(Utility!$E$19="",Utility!$E$20="",Utility!$E$21=""),0,'Peer City Scores'!D55)</f>
        <v>2.25</v>
      </c>
      <c r="H57" s="262">
        <f ca="1">IF(AND(Utility!$E$19="",Utility!$E$20="",Utility!$E$21=""),0,'Peer City Scores'!E55)</f>
        <v>2.5</v>
      </c>
      <c r="I57" s="262">
        <f ca="1">IF(AND(Utility!$E$19="",Utility!$E$20="",Utility!$E$21=""),0,'Peer City Scores'!F55)</f>
        <v>0.5</v>
      </c>
      <c r="J57" s="262">
        <f ca="1">IF(AND(Utility!$E$19="",Utility!$E$20="",Utility!$E$21=""),0,'Peer City Scores'!G55)</f>
        <v>0</v>
      </c>
      <c r="K57" s="262">
        <f ca="1">IF(AND(Utility!$E$19="",Utility!$E$20="",Utility!$E$21=""),0,'Peer City Scores'!H55)</f>
        <v>1.5</v>
      </c>
      <c r="L57" s="262">
        <f ca="1">IF(AND(Utility!$E$19="",Utility!$E$20="",Utility!$E$21=""),0,'Peer City Scores'!I55)</f>
        <v>0.5</v>
      </c>
      <c r="M57" s="262">
        <f ca="1">IF(AND(Utility!$E$19="",Utility!$E$20="",Utility!$E$21=""),0,'Peer City Scores'!J55)</f>
        <v>2.75</v>
      </c>
      <c r="N57" s="258">
        <f ca="1">HLOOKUP($N$3,'City Scorecard Scores'!$B$1:$CZ$87,55,FALSE)</f>
        <v>1</v>
      </c>
    </row>
    <row r="58" spans="1:14" s="9" customFormat="1" outlineLevel="1">
      <c r="B58" s="11" t="str">
        <f ca="1">Utility!A22</f>
        <v>Natural Gas Efficiency Spending</v>
      </c>
      <c r="C58" s="71">
        <v>3</v>
      </c>
      <c r="D58" s="71" t="e">
        <f ca="1">IF(Utility!D7="Municipally Owned Utility",Utility!E22,IF(ISBLANK(Utility!D22),"",IF(ISBLANK(Utility!D23),"",IF(ISBLANK(Utility!D24),"",IF(Utility!D7="Investor Owned Utility",SUM(Utility!E22+Utility!E23+Utility!E24))))))</f>
        <v>#VALUE!</v>
      </c>
      <c r="E58" s="330"/>
      <c r="F58" s="262">
        <f ca="1">IF(AND(Utility!$E$22="",Utility!$E$23="",Utility!$E$24=""),0,'Peer City Scores'!C56)</f>
        <v>0.75</v>
      </c>
      <c r="G58" s="262">
        <f ca="1">IF(AND(Utility!$E$22="",Utility!$E$23="",Utility!$E$24=""),0,'Peer City Scores'!D56)</f>
        <v>0.75</v>
      </c>
      <c r="H58" s="262">
        <f ca="1">IF(AND(Utility!$E$22="",Utility!$E$23="",Utility!$E$24=""),0,'Peer City Scores'!E56)</f>
        <v>0</v>
      </c>
      <c r="I58" s="262">
        <f ca="1">IF(AND(Utility!$E$22="",Utility!$E$23="",Utility!$E$24=""),0,'Peer City Scores'!F56)</f>
        <v>0</v>
      </c>
      <c r="J58" s="262">
        <f ca="1">IF(AND(Utility!$E$22="",Utility!$E$23="",Utility!$E$24=""),0,'Peer City Scores'!G56)</f>
        <v>0</v>
      </c>
      <c r="K58" s="262">
        <f ca="1">IF(AND(Utility!$E$22="",Utility!$E$23="",Utility!$E$24=""),0,'Peer City Scores'!H56)</f>
        <v>0.75</v>
      </c>
      <c r="L58" s="262">
        <f ca="1">IF(AND(Utility!$E$22="",Utility!$E$23="",Utility!$E$24=""),0,'Peer City Scores'!I56)</f>
        <v>0</v>
      </c>
      <c r="M58" s="262">
        <f ca="1">IF(AND(Utility!$E$22="",Utility!$E$23="",Utility!$E$24=""),0,'Peer City Scores'!J56)</f>
        <v>2</v>
      </c>
      <c r="N58" s="258">
        <f ca="1">HLOOKUP($N$3,'City Scorecard Scores'!$B$1:$CZ$87,56,FALSE)</f>
        <v>0.75</v>
      </c>
    </row>
    <row r="59" spans="1:14" s="9" customFormat="1" outlineLevel="1">
      <c r="B59" s="11" t="str">
        <f ca="1">Utility!A25</f>
        <v xml:space="preserve">Electric Savings </v>
      </c>
      <c r="C59" s="71">
        <v>2</v>
      </c>
      <c r="D59" s="71">
        <f ca="1">Utility!E25</f>
        <v>2</v>
      </c>
      <c r="E59" s="330"/>
      <c r="F59" s="262">
        <f ca="1">IF(Utility!$E$25="",0,'Peer City Scores'!C57)</f>
        <v>0</v>
      </c>
      <c r="G59" s="262">
        <f ca="1">IF(Utility!$E$25="",0,'Peer City Scores'!D57)</f>
        <v>1</v>
      </c>
      <c r="H59" s="262">
        <f ca="1">IF(Utility!$E$25="",0,'Peer City Scores'!E57)</f>
        <v>2</v>
      </c>
      <c r="I59" s="262">
        <f ca="1">IF(Utility!$E$25="",0,'Peer City Scores'!F57)</f>
        <v>1.5</v>
      </c>
      <c r="J59" s="262">
        <f ca="1">IF(Utility!$E$25="",0,'Peer City Scores'!G57)</f>
        <v>0.5</v>
      </c>
      <c r="K59" s="262">
        <f ca="1">IF(Utility!$E$25="",0,'Peer City Scores'!H57)</f>
        <v>0</v>
      </c>
      <c r="L59" s="262">
        <f ca="1">IF(Utility!$E$25="",0,'Peer City Scores'!I57)</f>
        <v>1.5</v>
      </c>
      <c r="M59" s="262">
        <f ca="1">IF(Utility!$E$25="",0,'Peer City Scores'!J57)</f>
        <v>1.5</v>
      </c>
      <c r="N59" s="258">
        <f ca="1">HLOOKUP($N$3,'City Scorecard Scores'!$B$1:$CZ$87,57,FALSE)</f>
        <v>0</v>
      </c>
    </row>
    <row r="60" spans="1:14" s="9" customFormat="1" outlineLevel="1">
      <c r="B60" s="11" t="str">
        <f ca="1">Utility!A26</f>
        <v>Green Stormwater Infrastructure</v>
      </c>
      <c r="C60" s="71">
        <v>0.5</v>
      </c>
      <c r="D60" s="71" t="str">
        <f ca="1">Utility!E26</f>
        <v/>
      </c>
      <c r="E60" s="330"/>
      <c r="F60" s="262">
        <f ca="1">IF(Utility!$E$26="",0,'Peer City Scores'!C58)</f>
        <v>0</v>
      </c>
      <c r="G60" s="262">
        <f ca="1">IF(Utility!$E$26="",0,'Peer City Scores'!D58)</f>
        <v>0</v>
      </c>
      <c r="H60" s="262">
        <f ca="1">IF(Utility!$E$26="",0,'Peer City Scores'!E58)</f>
        <v>0</v>
      </c>
      <c r="I60" s="262">
        <f ca="1">IF(Utility!$E$26="",0,'Peer City Scores'!F58)</f>
        <v>0</v>
      </c>
      <c r="J60" s="262">
        <f ca="1">IF(Utility!$E$26="",0,'Peer City Scores'!G58)</f>
        <v>0</v>
      </c>
      <c r="K60" s="262">
        <f ca="1">IF(Utility!$E$26="",0,'Peer City Scores'!H58)</f>
        <v>0</v>
      </c>
      <c r="L60" s="262">
        <f ca="1">IF(Utility!$E$26="",0,'Peer City Scores'!I58)</f>
        <v>0</v>
      </c>
      <c r="M60" s="262">
        <f ca="1">IF(Utility!$E$26="",0,'Peer City Scores'!J58)</f>
        <v>0</v>
      </c>
      <c r="N60" s="258">
        <f ca="1">HLOOKUP($N$3,'City Scorecard Scores'!$B$1:$CZ$87,58,FALSE)</f>
        <v>0.5</v>
      </c>
    </row>
    <row r="61" spans="1:14" s="9" customFormat="1">
      <c r="B61" s="38" t="str">
        <f ca="1">Utility!B30</f>
        <v>Accessible Energy Utility Data</v>
      </c>
      <c r="C61" s="86">
        <v>2</v>
      </c>
      <c r="D61" s="86">
        <f ca="1">SUM(D62)</f>
        <v>0</v>
      </c>
      <c r="E61" s="330"/>
      <c r="F61" s="256">
        <f ca="1">F62</f>
        <v>0</v>
      </c>
      <c r="G61" s="256">
        <f t="shared" ref="G61:M61" si="16">G62</f>
        <v>0</v>
      </c>
      <c r="H61" s="256">
        <f t="shared" si="16"/>
        <v>0</v>
      </c>
      <c r="I61" s="256">
        <f t="shared" si="16"/>
        <v>0</v>
      </c>
      <c r="J61" s="256">
        <f t="shared" si="16"/>
        <v>0</v>
      </c>
      <c r="K61" s="256">
        <f t="shared" si="16"/>
        <v>0</v>
      </c>
      <c r="L61" s="256">
        <f t="shared" si="16"/>
        <v>0</v>
      </c>
      <c r="M61" s="256">
        <f t="shared" si="16"/>
        <v>0</v>
      </c>
      <c r="N61" s="253">
        <f ca="1">HLOOKUP($N$3,'City Scorecard Scores'!$B$1:$CZ$87,59,FALSE)</f>
        <v>0.5</v>
      </c>
    </row>
    <row r="62" spans="1:14" s="9" customFormat="1" outlineLevel="1">
      <c r="B62" s="11" t="str">
        <f ca="1">Utility!A33</f>
        <v>Energy Data Provision</v>
      </c>
      <c r="C62" s="71">
        <v>2</v>
      </c>
      <c r="D62" s="71" t="str">
        <f ca="1">IF(Utility!E33="","",IF(Utility!E34="","",IF(Utility!E35="","",IF(Utility!E36="","",(Utility!E33+Utility!E34+Utility!E35+Utility!E36)))))</f>
        <v/>
      </c>
      <c r="E62" s="330"/>
      <c r="F62" s="262">
        <f ca="1">IF(OR(Utility!$E$33="",Utility!$E$34="",Utility!$E$35="",Utility!$E$36=""),0,'Peer City Scores'!C60)</f>
        <v>0</v>
      </c>
      <c r="G62" s="262">
        <f ca="1">IF(OR(Utility!$E$33="",Utility!$E$34="",Utility!$E$35="",Utility!$E$36=""),0,'Peer City Scores'!D60)</f>
        <v>0</v>
      </c>
      <c r="H62" s="262">
        <f ca="1">IF(OR(Utility!$E$33="",Utility!$E$34="",Utility!$E$35="",Utility!$E$36=""),0,'Peer City Scores'!E60)</f>
        <v>0</v>
      </c>
      <c r="I62" s="262">
        <f ca="1">IF(OR(Utility!$E$33="",Utility!$E$34="",Utility!$E$35="",Utility!$E$36=""),0,'Peer City Scores'!F60)</f>
        <v>0</v>
      </c>
      <c r="J62" s="262">
        <f ca="1">IF(OR(Utility!$E$33="",Utility!$E$34="",Utility!$E$35="",Utility!$E$36=""),0,'Peer City Scores'!G60)</f>
        <v>0</v>
      </c>
      <c r="K62" s="262">
        <f ca="1">IF(OR(Utility!$E$33="",Utility!$E$34="",Utility!$E$35="",Utility!$E$36=""),0,'Peer City Scores'!H60)</f>
        <v>0</v>
      </c>
      <c r="L62" s="262">
        <f ca="1">IF(OR(Utility!$E$33="",Utility!$E$34="",Utility!$E$35="",Utility!$E$36=""),0,'Peer City Scores'!I60)</f>
        <v>0</v>
      </c>
      <c r="M62" s="262">
        <f ca="1">IF(OR(Utility!$E$33="",Utility!$E$34="",Utility!$E$35="",Utility!$E$36=""),0,'Peer City Scores'!J60)</f>
        <v>0</v>
      </c>
      <c r="N62" s="258">
        <f ca="1">HLOOKUP($N$3,'City Scorecard Scores'!$B$1:$CZ$87,60,FALSE)</f>
        <v>0.5</v>
      </c>
    </row>
    <row r="63" spans="1:14" s="9" customFormat="1">
      <c r="B63" s="38" t="str">
        <f ca="1">Utility!B41</f>
        <v>Comprehensive Energy Management at Utilities</v>
      </c>
      <c r="C63" s="86">
        <f ca="1">6.5</f>
        <v>6.5</v>
      </c>
      <c r="D63" s="86" t="e">
        <f ca="1">SUM(D64:D67)</f>
        <v>#VALUE!</v>
      </c>
      <c r="E63" s="330"/>
      <c r="F63" s="256">
        <f t="shared" ref="F63:M63" si="17">F64+F65+F66+F67</f>
        <v>0</v>
      </c>
      <c r="G63" s="256">
        <f t="shared" si="17"/>
        <v>2</v>
      </c>
      <c r="H63" s="256">
        <f t="shared" si="17"/>
        <v>0</v>
      </c>
      <c r="I63" s="256">
        <f t="shared" si="17"/>
        <v>1</v>
      </c>
      <c r="J63" s="256">
        <f t="shared" si="17"/>
        <v>0.5</v>
      </c>
      <c r="K63" s="256">
        <f t="shared" si="17"/>
        <v>1.5</v>
      </c>
      <c r="L63" s="256">
        <f t="shared" si="17"/>
        <v>1.5</v>
      </c>
      <c r="M63" s="256">
        <f t="shared" si="17"/>
        <v>0.5</v>
      </c>
      <c r="N63" s="253">
        <f ca="1">HLOOKUP($N$3,'City Scorecard Scores'!$B$1:$CZ$87,61,FALSE)</f>
        <v>3.5</v>
      </c>
    </row>
    <row r="64" spans="1:14" s="9" customFormat="1" outlineLevel="1">
      <c r="B64" s="11" t="str">
        <f ca="1">Utility!A44</f>
        <v>EE Targets and Funding Agreements</v>
      </c>
      <c r="C64" s="71">
        <f ca="1">IF(Utility!D6="Municipally Owned Utility",0,2)</f>
        <v>0</v>
      </c>
      <c r="D64" s="91">
        <f ca="1">IF(Utility!D6="Municipally Owned Utility",SUM(Utility!E46:E48),IF(Utility!D6="Investor Owned Utility",SUM(Utility!E44:E45),""))</f>
        <v>0</v>
      </c>
      <c r="E64" s="330"/>
      <c r="F64" s="262">
        <f ca="1">IF(AND(Utility!$E$44="",Utility!$E$45="",Utility!$E$46="",Utility!$E$47="",Utility!$E$48=""),0,'Peer City Scores'!C62)</f>
        <v>0</v>
      </c>
      <c r="G64" s="262">
        <f ca="1">IF(AND(Utility!$E$44="",Utility!$E$45="",Utility!$E$46="",Utility!$E$47="",Utility!$E$48=""),0,'Peer City Scores'!D62)</f>
        <v>0</v>
      </c>
      <c r="H64" s="262">
        <f ca="1">IF(AND(Utility!$E$44="",Utility!$E$45="",Utility!$E$46="",Utility!$E$47="",Utility!$E$48=""),0,'Peer City Scores'!E62)</f>
        <v>0</v>
      </c>
      <c r="I64" s="262">
        <f ca="1">IF(AND(Utility!$E$44="",Utility!$E$45="",Utility!$E$46="",Utility!$E$47="",Utility!$E$48=""),0,'Peer City Scores'!F62)</f>
        <v>0</v>
      </c>
      <c r="J64" s="262">
        <f ca="1">IF(AND(Utility!$E$44="",Utility!$E$45="",Utility!$E$46="",Utility!$E$47="",Utility!$E$48=""),0,'Peer City Scores'!G62)</f>
        <v>0</v>
      </c>
      <c r="K64" s="262">
        <f ca="1">IF(AND(Utility!$E$44="",Utility!$E$45="",Utility!$E$46="",Utility!$E$47="",Utility!$E$48=""),0,'Peer City Scores'!H62)</f>
        <v>0</v>
      </c>
      <c r="L64" s="262">
        <f ca="1">IF(AND(Utility!$E$44="",Utility!$E$45="",Utility!$E$46="",Utility!$E$47="",Utility!$E$48=""),0,'Peer City Scores'!I62)</f>
        <v>0</v>
      </c>
      <c r="M64" s="262">
        <f ca="1">IF(AND(Utility!$E$44="",Utility!$E$45="",Utility!$E$46="",Utility!$E$47="",Utility!$E$48=""),0,'Peer City Scores'!J62)</f>
        <v>0</v>
      </c>
      <c r="N64" s="258">
        <f ca="1">HLOOKUP($N$3,'City Scorecard Scores'!$B$1:$CZ$87,62,FALSE)</f>
        <v>0</v>
      </c>
    </row>
    <row r="65" spans="2:14" s="9" customFormat="1" outlineLevel="1">
      <c r="B65" s="11" t="str">
        <f ca="1">Utility!A49</f>
        <v>Water Efficiency</v>
      </c>
      <c r="C65" s="71">
        <v>2</v>
      </c>
      <c r="D65" s="71" t="e">
        <f ca="1">IF(ISBLANK(Utility!D49),"",IF(ISBLANK(Utility!D50),"",SUM(Utility!E49+Utility!E50)))</f>
        <v>#VALUE!</v>
      </c>
      <c r="E65" s="330"/>
      <c r="F65" s="262">
        <f ca="1">IF(OR(Utility!$E$49="",Utility!$E$50=""),0,'Peer City Scores'!C63)</f>
        <v>0</v>
      </c>
      <c r="G65" s="262">
        <f ca="1">IF(OR(Utility!$E$49="",Utility!$E$50=""),0,'Peer City Scores'!D63)</f>
        <v>0</v>
      </c>
      <c r="H65" s="262">
        <f ca="1">IF(OR(Utility!$E$49="",Utility!$E$50=""),0,'Peer City Scores'!E63)</f>
        <v>0</v>
      </c>
      <c r="I65" s="262">
        <f ca="1">IF(OR(Utility!$E$49="",Utility!$E$50=""),0,'Peer City Scores'!F63)</f>
        <v>0</v>
      </c>
      <c r="J65" s="262">
        <f ca="1">IF(OR(Utility!$E$49="",Utility!$E$50=""),0,'Peer City Scores'!G63)</f>
        <v>0</v>
      </c>
      <c r="K65" s="262">
        <f ca="1">IF(OR(Utility!$E$49="",Utility!$E$50=""),0,'Peer City Scores'!H63)</f>
        <v>0</v>
      </c>
      <c r="L65" s="262">
        <f ca="1">IF(OR(Utility!$E$49="",Utility!$E$50=""),0,'Peer City Scores'!I63)</f>
        <v>0</v>
      </c>
      <c r="M65" s="262">
        <f ca="1">IF(OR(Utility!$E$49="",Utility!$E$50=""),0,'Peer City Scores'!J63)</f>
        <v>0</v>
      </c>
      <c r="N65" s="258">
        <f ca="1">HLOOKUP($N$3,'City Scorecard Scores'!$B$1:$CZ$87,63,FALSE)</f>
        <v>1</v>
      </c>
    </row>
    <row r="66" spans="2:14" s="9" customFormat="1" outlineLevel="1">
      <c r="B66" s="11" t="str">
        <f ca="1">Utility!A51</f>
        <v>Efficient Stormwater Management</v>
      </c>
      <c r="C66" s="71">
        <v>0.5</v>
      </c>
      <c r="D66" s="71" t="str">
        <f ca="1">Utility!E51</f>
        <v/>
      </c>
      <c r="E66" s="330"/>
      <c r="F66" s="262">
        <f ca="1">IF(Utility!$E$51="",0,'Peer City Scores'!C64)</f>
        <v>0</v>
      </c>
      <c r="G66" s="262">
        <f ca="1">IF(Utility!$E$51="",0,'Peer City Scores'!D64)</f>
        <v>0</v>
      </c>
      <c r="H66" s="262">
        <f ca="1">IF(Utility!$E$51="",0,'Peer City Scores'!E64)</f>
        <v>0</v>
      </c>
      <c r="I66" s="262">
        <f ca="1">IF(Utility!$E$51="",0,'Peer City Scores'!F64)</f>
        <v>0</v>
      </c>
      <c r="J66" s="262">
        <f ca="1">IF(Utility!$E$51="",0,'Peer City Scores'!G64)</f>
        <v>0</v>
      </c>
      <c r="K66" s="262">
        <f ca="1">IF(Utility!$E$51="",0,'Peer City Scores'!H64)</f>
        <v>0</v>
      </c>
      <c r="L66" s="262">
        <f ca="1">IF(Utility!$E$51="",0,'Peer City Scores'!I64)</f>
        <v>0</v>
      </c>
      <c r="M66" s="262">
        <f ca="1">IF(Utility!$E$51="",0,'Peer City Scores'!J64)</f>
        <v>0</v>
      </c>
      <c r="N66" s="258">
        <f ca="1">HLOOKUP($N$3,'City Scorecard Scores'!$B$1:$CZ$87,64,FALSE)</f>
        <v>0.5</v>
      </c>
    </row>
    <row r="67" spans="2:14" s="9" customFormat="1" outlineLevel="1">
      <c r="B67" s="11" t="str">
        <f ca="1">Utility!A52</f>
        <v>Energy Efficiency in Water Services</v>
      </c>
      <c r="C67" s="71">
        <v>2</v>
      </c>
      <c r="D67" s="71">
        <f ca="1">IF(ISBLANK(Utility!D52),"",IF(ISBLANK(Utility!D53),"",SUM(Utility!E52+Utility!E53)))</f>
        <v>0</v>
      </c>
      <c r="E67" s="330"/>
      <c r="F67" s="262">
        <f ca="1">IF(Utility!$E$53="",0,'Peer City Scores'!C65)</f>
        <v>0</v>
      </c>
      <c r="G67" s="262">
        <f ca="1">IF(Utility!$E$53="",0,'Peer City Scores'!D65)</f>
        <v>2</v>
      </c>
      <c r="H67" s="262">
        <f ca="1">IF(Utility!$E$53="",0,'Peer City Scores'!E65)</f>
        <v>0</v>
      </c>
      <c r="I67" s="262">
        <f ca="1">IF(Utility!$E$53="",0,'Peer City Scores'!F65)</f>
        <v>1</v>
      </c>
      <c r="J67" s="262">
        <f ca="1">IF(Utility!$E$53="",0,'Peer City Scores'!G65)</f>
        <v>0.5</v>
      </c>
      <c r="K67" s="262">
        <f ca="1">IF(Utility!$E$53="",0,'Peer City Scores'!H65)</f>
        <v>1.5</v>
      </c>
      <c r="L67" s="262">
        <f ca="1">IF(Utility!$E$53="",0,'Peer City Scores'!I65)</f>
        <v>1.5</v>
      </c>
      <c r="M67" s="262">
        <f ca="1">IF(Utility!$E$53="",0,'Peer City Scores'!J65)</f>
        <v>0.5</v>
      </c>
      <c r="N67" s="258">
        <f ca="1">HLOOKUP($N$3,'City Scorecard Scores'!$B$1:$CZ$87,65,FALSE)</f>
        <v>2</v>
      </c>
    </row>
    <row r="68" spans="2:14" s="9" customFormat="1">
      <c r="B68" s="65" t="s">
        <v>121</v>
      </c>
      <c r="C68" s="85">
        <f>C69+C74+C77+C83</f>
        <v>28</v>
      </c>
      <c r="D68" s="88" t="e">
        <f>D69+D74+D77+D83</f>
        <v>#VALUE!</v>
      </c>
      <c r="E68" s="330"/>
      <c r="F68" s="255">
        <f t="shared" ref="F68:M68" si="18">F69+F74+F77+F83</f>
        <v>12.25</v>
      </c>
      <c r="G68" s="255">
        <f t="shared" si="18"/>
        <v>8.5</v>
      </c>
      <c r="H68" s="255">
        <f t="shared" si="18"/>
        <v>6</v>
      </c>
      <c r="I68" s="255">
        <f t="shared" si="18"/>
        <v>6.75</v>
      </c>
      <c r="J68" s="255">
        <f t="shared" si="18"/>
        <v>11.25</v>
      </c>
      <c r="K68" s="255">
        <f t="shared" si="18"/>
        <v>4.75</v>
      </c>
      <c r="L68" s="255">
        <f t="shared" si="18"/>
        <v>7</v>
      </c>
      <c r="M68" s="255">
        <f t="shared" si="18"/>
        <v>5.25</v>
      </c>
      <c r="N68" s="248">
        <f ca="1">HLOOKUP($N$3,'City Scorecard Scores'!$B$1:$CZ$87,66,FALSE)</f>
        <v>17.5</v>
      </c>
    </row>
    <row r="69" spans="2:14" s="9" customFormat="1">
      <c r="B69" s="38" t="str">
        <f ca="1">Transportation!B13</f>
        <v xml:space="preserve">Getting Started </v>
      </c>
      <c r="C69" s="86">
        <v>9</v>
      </c>
      <c r="D69" s="86">
        <f ca="1">SUM(D70:D73)</f>
        <v>3.5</v>
      </c>
      <c r="E69" s="330"/>
      <c r="F69" s="256">
        <f ca="1">F70+F71+F72+F73</f>
        <v>6</v>
      </c>
      <c r="G69" s="256">
        <f t="shared" ref="G69:M69" si="19">G70+G71+G72+G73</f>
        <v>5.5</v>
      </c>
      <c r="H69" s="256">
        <f t="shared" si="19"/>
        <v>3.5</v>
      </c>
      <c r="I69" s="256">
        <f t="shared" si="19"/>
        <v>3.5</v>
      </c>
      <c r="J69" s="256">
        <f t="shared" si="19"/>
        <v>7</v>
      </c>
      <c r="K69" s="256">
        <f t="shared" si="19"/>
        <v>3.5</v>
      </c>
      <c r="L69" s="256">
        <f t="shared" si="19"/>
        <v>3.5</v>
      </c>
      <c r="M69" s="256">
        <f t="shared" si="19"/>
        <v>1.5</v>
      </c>
      <c r="N69" s="253">
        <f ca="1">HLOOKUP($N$3,'City Scorecard Scores'!$B$1:$CZ$87,67,FALSE)</f>
        <v>6.5</v>
      </c>
    </row>
    <row r="70" spans="2:14" s="9" customFormat="1" outlineLevel="1">
      <c r="B70" s="11" t="str">
        <f ca="1">Transportation!A16</f>
        <v>Complete Streets</v>
      </c>
      <c r="C70" s="71">
        <v>2</v>
      </c>
      <c r="D70" s="71">
        <f ca="1">Transportation!E16</f>
        <v>0.5</v>
      </c>
      <c r="E70" s="330"/>
      <c r="F70" s="262">
        <f ca="1">IF(Transportation!$E$16="",0,'Peer City Scores'!C68)</f>
        <v>1</v>
      </c>
      <c r="G70" s="262">
        <f ca="1">IF(Transportation!$E$16="",0,'Peer City Scores'!D68)</f>
        <v>1.5</v>
      </c>
      <c r="H70" s="262">
        <f ca="1">IF(Transportation!$E$16="",0,'Peer City Scores'!E68)</f>
        <v>0.5</v>
      </c>
      <c r="I70" s="262">
        <f ca="1">IF(Transportation!$E$16="",0,'Peer City Scores'!F68)</f>
        <v>1</v>
      </c>
      <c r="J70" s="262">
        <f ca="1">IF(Transportation!$E$16="",0,'Peer City Scores'!G68)</f>
        <v>1</v>
      </c>
      <c r="K70" s="262">
        <f ca="1">IF(Transportation!$E$16="",0,'Peer City Scores'!H68)</f>
        <v>1</v>
      </c>
      <c r="L70" s="262">
        <f ca="1">IF(Transportation!$E$16="",0,'Peer City Scores'!I68)</f>
        <v>0.5</v>
      </c>
      <c r="M70" s="262">
        <f ca="1">IF(Transportation!$E$16="",0,'Peer City Scores'!J68)</f>
        <v>0</v>
      </c>
      <c r="N70" s="258">
        <f ca="1">HLOOKUP($N$3,'City Scorecard Scores'!$B$1:$CZ$87,68,FALSE)</f>
        <v>0</v>
      </c>
    </row>
    <row r="71" spans="2:14" s="9" customFormat="1" outlineLevel="1">
      <c r="B71" s="11" t="str">
        <f ca="1">Transportation!A17</f>
        <v>Car and Bike Sharing</v>
      </c>
      <c r="C71" s="71">
        <v>2</v>
      </c>
      <c r="D71" s="71">
        <f ca="1">IF(ISBLANK(Transportation!D17),"",IF(ISBLANK(Transportation!D18),"",SUM(Transportation!E17+Transportation!E18)))</f>
        <v>2</v>
      </c>
      <c r="E71" s="330"/>
      <c r="F71" s="262">
        <f ca="1">IF(OR(Transportation!$E$17="",Transportation!$E$18=""),0,'Peer City Scores'!C69)</f>
        <v>2</v>
      </c>
      <c r="G71" s="262">
        <f ca="1">IF(OR(Transportation!$E$17="",Transportation!$E$18=""),0,'Peer City Scores'!D69)</f>
        <v>2</v>
      </c>
      <c r="H71" s="262">
        <f ca="1">IF(OR(Transportation!$E$17="",Transportation!$E$18=""),0,'Peer City Scores'!E69)</f>
        <v>2</v>
      </c>
      <c r="I71" s="262">
        <f ca="1">IF(OR(Transportation!$E$17="",Transportation!$E$18=""),0,'Peer City Scores'!F69)</f>
        <v>2</v>
      </c>
      <c r="J71" s="262">
        <f ca="1">IF(OR(Transportation!$E$17="",Transportation!$E$18=""),0,'Peer City Scores'!G69)</f>
        <v>2</v>
      </c>
      <c r="K71" s="262">
        <f ca="1">IF(OR(Transportation!$E$17="",Transportation!$E$18=""),0,'Peer City Scores'!H69)</f>
        <v>0.5</v>
      </c>
      <c r="L71" s="262">
        <f ca="1">IF(OR(Transportation!$E$17="",Transportation!$E$18=""),0,'Peer City Scores'!I69)</f>
        <v>2</v>
      </c>
      <c r="M71" s="262">
        <f ca="1">IF(OR(Transportation!$E$17="",Transportation!$E$18=""),0,'Peer City Scores'!J69)</f>
        <v>1</v>
      </c>
      <c r="N71" s="258">
        <f ca="1">HLOOKUP($N$3,'City Scorecard Scores'!$B$1:$CZ$87,69,FALSE)</f>
        <v>1.5</v>
      </c>
    </row>
    <row r="72" spans="2:14" s="9" customFormat="1" outlineLevel="1">
      <c r="B72" s="11" t="str">
        <f ca="1">Transportation!A19</f>
        <v>Transportation Funding</v>
      </c>
      <c r="C72" s="71">
        <v>4</v>
      </c>
      <c r="D72" s="71">
        <f ca="1">Transportation!E19</f>
        <v>1</v>
      </c>
      <c r="E72" s="330"/>
      <c r="F72" s="262">
        <f ca="1">IF(Transportation!$E$19="",0,'Peer City Scores'!C70)</f>
        <v>3</v>
      </c>
      <c r="G72" s="262">
        <f ca="1">IF(Transportation!$E$19="",0,'Peer City Scores'!D70)</f>
        <v>2</v>
      </c>
      <c r="H72" s="262">
        <f ca="1">IF(Transportation!$E$19="",0,'Peer City Scores'!E70)</f>
        <v>1</v>
      </c>
      <c r="I72" s="262">
        <f ca="1">IF(Transportation!$E$19="",0,'Peer City Scores'!F70)</f>
        <v>0.5</v>
      </c>
      <c r="J72" s="262">
        <f ca="1">IF(Transportation!$E$19="",0,'Peer City Scores'!G70)</f>
        <v>4</v>
      </c>
      <c r="K72" s="262">
        <f ca="1">IF(Transportation!$E$19="",0,'Peer City Scores'!H70)</f>
        <v>2</v>
      </c>
      <c r="L72" s="262">
        <f ca="1">IF(Transportation!$E$19="",0,'Peer City Scores'!I70)</f>
        <v>1</v>
      </c>
      <c r="M72" s="262">
        <f ca="1">IF(Transportation!$E$19="",0,'Peer City Scores'!J70)</f>
        <v>0.5</v>
      </c>
      <c r="N72" s="258">
        <f ca="1">HLOOKUP($N$3,'City Scorecard Scores'!$B$1:$CZ$87,70,FALSE)</f>
        <v>4</v>
      </c>
    </row>
    <row r="73" spans="2:14" s="9" customFormat="1" outlineLevel="1">
      <c r="B73" s="11" t="str">
        <f ca="1">Transportation!A20</f>
        <v>Transportation Partnerships</v>
      </c>
      <c r="C73" s="71">
        <v>1</v>
      </c>
      <c r="D73" s="71" t="str">
        <f ca="1">Transportation!E20</f>
        <v/>
      </c>
      <c r="E73" s="330"/>
      <c r="F73" s="262">
        <f ca="1">IF(Transportation!$E$20="",0,'Peer City Scores'!C71)</f>
        <v>0</v>
      </c>
      <c r="G73" s="262">
        <f ca="1">IF(Transportation!$E$20="",0,'Peer City Scores'!D71)</f>
        <v>0</v>
      </c>
      <c r="H73" s="262">
        <f ca="1">IF(Transportation!$E$20="",0,'Peer City Scores'!E71)</f>
        <v>0</v>
      </c>
      <c r="I73" s="262">
        <f ca="1">IF(Transportation!$E$20="",0,'Peer City Scores'!F71)</f>
        <v>0</v>
      </c>
      <c r="J73" s="262">
        <f ca="1">IF(Transportation!$E$20="",0,'Peer City Scores'!G71)</f>
        <v>0</v>
      </c>
      <c r="K73" s="262">
        <f ca="1">IF(Transportation!$E$20="",0,'Peer City Scores'!H71)</f>
        <v>0</v>
      </c>
      <c r="L73" s="262">
        <f ca="1">IF(Transportation!$E$20="",0,'Peer City Scores'!I71)</f>
        <v>0</v>
      </c>
      <c r="M73" s="262">
        <f ca="1">IF(Transportation!$E$20="",0,'Peer City Scores'!J71)</f>
        <v>0</v>
      </c>
      <c r="N73" s="258">
        <f ca="1">HLOOKUP($N$3,'City Scorecard Scores'!$B$1:$CZ$87,71,FALSE)</f>
        <v>1</v>
      </c>
    </row>
    <row r="74" spans="2:14" s="9" customFormat="1">
      <c r="B74" s="38" t="str">
        <f ca="1">Transportation!B24</f>
        <v>Improve Access to Actionable Information</v>
      </c>
      <c r="C74" s="86">
        <v>2.5</v>
      </c>
      <c r="D74" s="86">
        <f ca="1">SUM(D75:D76)</f>
        <v>0</v>
      </c>
      <c r="E74" s="330"/>
      <c r="F74" s="256">
        <f ca="1">F75+F76</f>
        <v>0</v>
      </c>
      <c r="G74" s="256">
        <f t="shared" ref="G74:M74" si="20">G75+G76</f>
        <v>0</v>
      </c>
      <c r="H74" s="256">
        <f t="shared" si="20"/>
        <v>0</v>
      </c>
      <c r="I74" s="256">
        <f t="shared" si="20"/>
        <v>0</v>
      </c>
      <c r="J74" s="256">
        <f t="shared" si="20"/>
        <v>0</v>
      </c>
      <c r="K74" s="256">
        <f t="shared" si="20"/>
        <v>0</v>
      </c>
      <c r="L74" s="256">
        <f t="shared" si="20"/>
        <v>0</v>
      </c>
      <c r="M74" s="256">
        <f t="shared" si="20"/>
        <v>0</v>
      </c>
      <c r="N74" s="253">
        <f ca="1">HLOOKUP($N$3,'City Scorecard Scores'!$B$1:$CZ$87,72,FALSE)</f>
        <v>0</v>
      </c>
    </row>
    <row r="75" spans="2:14" s="9" customFormat="1" outlineLevel="1">
      <c r="B75" s="11" t="str">
        <f ca="1">Transportation!A27</f>
        <v>Location Efficiency Information Policies</v>
      </c>
      <c r="C75" s="71">
        <v>0.5</v>
      </c>
      <c r="D75" s="71" t="str">
        <f ca="1">Transportation!E27</f>
        <v/>
      </c>
      <c r="E75" s="330"/>
      <c r="F75" s="262">
        <f ca="1">IF(Transportation!$E$27="",0,'Peer City Scores'!C73)</f>
        <v>0</v>
      </c>
      <c r="G75" s="262">
        <f ca="1">IF(Transportation!$E$27="",0,'Peer City Scores'!D73)</f>
        <v>0</v>
      </c>
      <c r="H75" s="262">
        <f ca="1">IF(Transportation!$E$27="",0,'Peer City Scores'!E73)</f>
        <v>0</v>
      </c>
      <c r="I75" s="262">
        <f ca="1">IF(Transportation!$E$27="",0,'Peer City Scores'!F73)</f>
        <v>0</v>
      </c>
      <c r="J75" s="262">
        <f ca="1">IF(Transportation!$E$27="",0,'Peer City Scores'!G73)</f>
        <v>0</v>
      </c>
      <c r="K75" s="262">
        <f ca="1">IF(Transportation!$E$27="",0,'Peer City Scores'!H73)</f>
        <v>0</v>
      </c>
      <c r="L75" s="262">
        <f ca="1">IF(Transportation!$E$27="",0,'Peer City Scores'!I73)</f>
        <v>0</v>
      </c>
      <c r="M75" s="262">
        <f ca="1">IF(Transportation!$E$27="",0,'Peer City Scores'!J73)</f>
        <v>0</v>
      </c>
      <c r="N75" s="258">
        <f ca="1">HLOOKUP($N$3,'City Scorecard Scores'!$B$1:$CZ$87,73,FALSE)</f>
        <v>0</v>
      </c>
    </row>
    <row r="76" spans="2:14" s="9" customFormat="1" outlineLevel="1">
      <c r="B76" s="11" t="str">
        <f ca="1">Transportation!A28</f>
        <v>Parking Requirements</v>
      </c>
      <c r="C76" s="71">
        <v>2</v>
      </c>
      <c r="D76" s="71" t="str">
        <f ca="1">Transportation!E28</f>
        <v/>
      </c>
      <c r="E76" s="330"/>
      <c r="F76" s="262">
        <f ca="1">IF(Transportation!$E$28="",0,'Peer City Scores'!C74)</f>
        <v>0</v>
      </c>
      <c r="G76" s="262">
        <f ca="1">IF(Transportation!$E$28="",0,'Peer City Scores'!D74)</f>
        <v>0</v>
      </c>
      <c r="H76" s="262">
        <f ca="1">IF(Transportation!$E$28="",0,'Peer City Scores'!E74)</f>
        <v>0</v>
      </c>
      <c r="I76" s="262">
        <f ca="1">IF(Transportation!$E$28="",0,'Peer City Scores'!F74)</f>
        <v>0</v>
      </c>
      <c r="J76" s="262">
        <f ca="1">IF(Transportation!$E$28="",0,'Peer City Scores'!G74)</f>
        <v>0</v>
      </c>
      <c r="K76" s="262">
        <f ca="1">IF(Transportation!$E$28="",0,'Peer City Scores'!H74)</f>
        <v>0</v>
      </c>
      <c r="L76" s="262">
        <f ca="1">IF(Transportation!$E$28="",0,'Peer City Scores'!I74)</f>
        <v>0</v>
      </c>
      <c r="M76" s="262">
        <f ca="1">IF(Transportation!$E$28="",0,'Peer City Scores'!J74)</f>
        <v>0</v>
      </c>
      <c r="N76" s="258">
        <f ca="1">HLOOKUP($N$3,'City Scorecard Scores'!$B$1:$CZ$87,74,FALSE)</f>
        <v>0</v>
      </c>
    </row>
    <row r="77" spans="2:14" s="9" customFormat="1">
      <c r="B77" s="38" t="str">
        <f ca="1">Transportation!B33</f>
        <v>Comprehensive Energy Strategy</v>
      </c>
      <c r="C77" s="86">
        <v>11.5</v>
      </c>
      <c r="D77" s="86" t="e">
        <f ca="1">SUM(D78:D82)</f>
        <v>#VALUE!</v>
      </c>
      <c r="E77" s="330"/>
      <c r="F77" s="256">
        <f ca="1">F78+F79+F80+F82+F81</f>
        <v>3.75</v>
      </c>
      <c r="G77" s="256">
        <f t="shared" ref="G77:M77" si="21">G78+G79+G80+G82+G81</f>
        <v>1</v>
      </c>
      <c r="H77" s="256">
        <f t="shared" si="21"/>
        <v>1.5</v>
      </c>
      <c r="I77" s="256">
        <f t="shared" si="21"/>
        <v>3.25</v>
      </c>
      <c r="J77" s="256">
        <f t="shared" si="21"/>
        <v>2.25</v>
      </c>
      <c r="K77" s="256">
        <f t="shared" si="21"/>
        <v>1.25</v>
      </c>
      <c r="L77" s="256">
        <f t="shared" si="21"/>
        <v>1.5</v>
      </c>
      <c r="M77" s="256">
        <f t="shared" si="21"/>
        <v>0.75</v>
      </c>
      <c r="N77" s="253">
        <f ca="1">HLOOKUP($N$3,'City Scorecard Scores'!$B$1:$CZ$87,75,FALSE)</f>
        <v>8</v>
      </c>
    </row>
    <row r="78" spans="2:14" s="9" customFormat="1" outlineLevel="1">
      <c r="B78" s="11" t="str">
        <f ca="1">Transportation!A36</f>
        <v xml:space="preserve">Location-Efficient Zoning </v>
      </c>
      <c r="C78" s="71">
        <v>2</v>
      </c>
      <c r="D78" s="71">
        <f ca="1">Transportation!E36</f>
        <v>0</v>
      </c>
      <c r="E78" s="330"/>
      <c r="F78" s="262">
        <f ca="1">IF(Transportation!$E$36="",0,'Peer City Scores'!C76)</f>
        <v>2</v>
      </c>
      <c r="G78" s="262">
        <f ca="1">IF(Transportation!$E$36="",0,'Peer City Scores'!D76)</f>
        <v>0</v>
      </c>
      <c r="H78" s="262">
        <f ca="1">IF(Transportation!$E$36="",0,'Peer City Scores'!E76)</f>
        <v>0</v>
      </c>
      <c r="I78" s="262">
        <f ca="1">IF(Transportation!$E$36="",0,'Peer City Scores'!F76)</f>
        <v>2</v>
      </c>
      <c r="J78" s="262">
        <f ca="1">IF(Transportation!$E$36="",0,'Peer City Scores'!G76)</f>
        <v>1</v>
      </c>
      <c r="K78" s="262">
        <f ca="1">IF(Transportation!$E$36="",0,'Peer City Scores'!H76)</f>
        <v>0</v>
      </c>
      <c r="L78" s="262">
        <f ca="1">IF(Transportation!$E$36="",0,'Peer City Scores'!I76)</f>
        <v>0</v>
      </c>
      <c r="M78" s="262">
        <f ca="1">IF(Transportation!$E$36="",0,'Peer City Scores'!J76)</f>
        <v>0</v>
      </c>
      <c r="N78" s="258">
        <f ca="1">HLOOKUP($N$3,'City Scorecard Scores'!$B$1:$CZ$87,76,FALSE)</f>
        <v>2</v>
      </c>
    </row>
    <row r="79" spans="2:14" s="9" customFormat="1" outlineLevel="1">
      <c r="B79" s="11" t="str">
        <f ca="1">Transportation!A37</f>
        <v>Integration of Transportation and Land Use Planning</v>
      </c>
      <c r="C79" s="71">
        <v>4</v>
      </c>
      <c r="D79" s="71" t="e">
        <f ca="1">IF(ISBLANK(Transportation!D37),"",IF(ISBLANK(Transportation!D38),"",SUM(Transportation!E37+Transportation!E38)))</f>
        <v>#VALUE!</v>
      </c>
      <c r="E79" s="330"/>
      <c r="F79" s="262">
        <f ca="1">IF(OR(Transportation!$E$37="",Transportation!$E$38=""),0,'Peer City Scores'!C77)</f>
        <v>0</v>
      </c>
      <c r="G79" s="262">
        <f ca="1">IF(OR(Transportation!$E$37="",Transportation!$E$38=""),0,'Peer City Scores'!D77)</f>
        <v>0</v>
      </c>
      <c r="H79" s="262">
        <f ca="1">IF(OR(Transportation!$E$37="",Transportation!$E$38=""),0,'Peer City Scores'!E77)</f>
        <v>0</v>
      </c>
      <c r="I79" s="262">
        <f ca="1">IF(OR(Transportation!$E$37="",Transportation!$E$38=""),0,'Peer City Scores'!F77)</f>
        <v>0</v>
      </c>
      <c r="J79" s="262">
        <f ca="1">IF(OR(Transportation!$E$37="",Transportation!$E$38=""),0,'Peer City Scores'!G77)</f>
        <v>0</v>
      </c>
      <c r="K79" s="262">
        <f ca="1">IF(OR(Transportation!$E$37="",Transportation!$E$38=""),0,'Peer City Scores'!H77)</f>
        <v>0</v>
      </c>
      <c r="L79" s="262">
        <f ca="1">IF(OR(Transportation!$E$37="",Transportation!$E$38=""),0,'Peer City Scores'!I77)</f>
        <v>0</v>
      </c>
      <c r="M79" s="262">
        <f ca="1">IF(OR(Transportation!$E$37="",Transportation!$E$38=""),0,'Peer City Scores'!J77)</f>
        <v>0</v>
      </c>
      <c r="N79" s="258">
        <f ca="1">HLOOKUP($N$3,'City Scorecard Scores'!$B$1:$CZ$87,77,FALSE)</f>
        <v>1</v>
      </c>
    </row>
    <row r="80" spans="2:14" s="9" customFormat="1" outlineLevel="1">
      <c r="B80" s="11" t="str">
        <f ca="1">Transportation!A39</f>
        <v>Access to Transit Services</v>
      </c>
      <c r="C80" s="71">
        <v>2</v>
      </c>
      <c r="D80" s="71">
        <f ca="1">Transportation!E39</f>
        <v>1</v>
      </c>
      <c r="E80" s="330"/>
      <c r="F80" s="262">
        <f ca="1">IF(Transportation!$E$39="",0,'Peer City Scores'!C78)</f>
        <v>1.5</v>
      </c>
      <c r="G80" s="262">
        <f ca="1">IF(Transportation!$E$39="",0,'Peer City Scores'!D78)</f>
        <v>1</v>
      </c>
      <c r="H80" s="262">
        <f ca="1">IF(Transportation!$E$39="",0,'Peer City Scores'!E78)</f>
        <v>1</v>
      </c>
      <c r="I80" s="262">
        <f ca="1">IF(Transportation!$E$39="",0,'Peer City Scores'!F78)</f>
        <v>0.25</v>
      </c>
      <c r="J80" s="262">
        <f ca="1">IF(Transportation!$E$39="",0,'Peer City Scores'!G78)</f>
        <v>0.25</v>
      </c>
      <c r="K80" s="262">
        <f ca="1">IF(Transportation!$E$39="",0,'Peer City Scores'!H78)</f>
        <v>0.25</v>
      </c>
      <c r="L80" s="262">
        <f ca="1">IF(Transportation!$E$39="",0,'Peer City Scores'!I78)</f>
        <v>1</v>
      </c>
      <c r="M80" s="262">
        <f ca="1">IF(Transportation!$E$39="",0,'Peer City Scores'!J78)</f>
        <v>0.25</v>
      </c>
      <c r="N80" s="258">
        <f ca="1">HLOOKUP($N$3,'City Scorecard Scores'!$B$1:$CZ$87,78,FALSE)</f>
        <v>1.5</v>
      </c>
    </row>
    <row r="81" spans="2:14" outlineLevel="1">
      <c r="B81" s="11" t="str">
        <f ca="1">Transportation!A40</f>
        <v>Efficient Driving Behavior</v>
      </c>
      <c r="C81" s="71">
        <v>0.5</v>
      </c>
      <c r="D81" s="71">
        <f ca="1">Transportation!E40</f>
        <v>0.5</v>
      </c>
      <c r="E81" s="330"/>
      <c r="F81" s="262">
        <f ca="1">IF(Transportation!$E$40="",0,'Peer City Scores'!C79)</f>
        <v>0.25</v>
      </c>
      <c r="G81" s="262">
        <f ca="1">IF(Transportation!$E$40="",0,'Peer City Scores'!D79)</f>
        <v>0</v>
      </c>
      <c r="H81" s="262">
        <f ca="1">IF(Transportation!$E$40="",0,'Peer City Scores'!E79)</f>
        <v>0.5</v>
      </c>
      <c r="I81" s="262">
        <f ca="1">IF(Transportation!$E$40="",0,'Peer City Scores'!F79)</f>
        <v>0.5</v>
      </c>
      <c r="J81" s="262">
        <f ca="1">IF(Transportation!$E$40="",0,'Peer City Scores'!G79)</f>
        <v>0.5</v>
      </c>
      <c r="K81" s="262">
        <f ca="1">IF(Transportation!$E$40="",0,'Peer City Scores'!H79)</f>
        <v>0.5</v>
      </c>
      <c r="L81" s="262">
        <f ca="1">IF(Transportation!$E$40="",0,'Peer City Scores'!I79)</f>
        <v>0.5</v>
      </c>
      <c r="M81" s="262">
        <f ca="1">IF(Transportation!$E$40="",0,'Peer City Scores'!J79)</f>
        <v>0.5</v>
      </c>
      <c r="N81" s="258">
        <f ca="1">HLOOKUP($N$3,'City Scorecard Scores'!$B$1:$CZ$87,79,FALSE)</f>
        <v>0.5</v>
      </c>
    </row>
    <row r="82" spans="2:14" s="9" customFormat="1" outlineLevel="1">
      <c r="B82" s="11" t="str">
        <f ca="1">Transportation!A41</f>
        <v>Intermodal Freight Facilities</v>
      </c>
      <c r="C82" s="71">
        <v>3</v>
      </c>
      <c r="D82" s="71">
        <f ca="1">Transportation!E41</f>
        <v>0</v>
      </c>
      <c r="E82" s="330"/>
      <c r="F82" s="262">
        <f ca="1">IF(Transportation!$D$41="",0,'Peer City Scores'!C80)</f>
        <v>0</v>
      </c>
      <c r="G82" s="262">
        <f ca="1">IF(Transportation!$D$41="",0,'Peer City Scores'!D80)</f>
        <v>0</v>
      </c>
      <c r="H82" s="262">
        <f ca="1">IF(Transportation!$D$41="",0,'Peer City Scores'!E80)</f>
        <v>0</v>
      </c>
      <c r="I82" s="262">
        <f ca="1">IF(Transportation!$D$41="",0,'Peer City Scores'!F80)</f>
        <v>0.5</v>
      </c>
      <c r="J82" s="262">
        <f ca="1">IF(Transportation!$D$41="",0,'Peer City Scores'!G80)</f>
        <v>0.5</v>
      </c>
      <c r="K82" s="262">
        <f ca="1">IF(Transportation!$D$41="",0,'Peer City Scores'!H80)</f>
        <v>0.5</v>
      </c>
      <c r="L82" s="262">
        <f ca="1">IF(Transportation!$D$41="",0,'Peer City Scores'!I80)</f>
        <v>0</v>
      </c>
      <c r="M82" s="262">
        <f ca="1">IF(Transportation!$D$41="",0,'Peer City Scores'!J80)</f>
        <v>0</v>
      </c>
      <c r="N82" s="258">
        <f ca="1">HLOOKUP($N$3,'City Scorecard Scores'!$B$1:$CZ$87,80,FALSE)</f>
        <v>3</v>
      </c>
    </row>
    <row r="83" spans="2:14" s="9" customFormat="1">
      <c r="B83" s="38" t="str">
        <f ca="1">Transportation!B46</f>
        <v>Incentives</v>
      </c>
      <c r="C83" s="86">
        <v>5</v>
      </c>
      <c r="D83" s="86">
        <f ca="1">SUM(D84:D87)</f>
        <v>1</v>
      </c>
      <c r="E83" s="330"/>
      <c r="F83" s="256">
        <f ca="1">F84+F85+F86+F87</f>
        <v>2.5</v>
      </c>
      <c r="G83" s="256">
        <f t="shared" ref="G83:M83" si="22">G84+G85+G86+G87</f>
        <v>2</v>
      </c>
      <c r="H83" s="256">
        <f t="shared" si="22"/>
        <v>1</v>
      </c>
      <c r="I83" s="256">
        <f t="shared" si="22"/>
        <v>0</v>
      </c>
      <c r="J83" s="256">
        <f t="shared" si="22"/>
        <v>2</v>
      </c>
      <c r="K83" s="256">
        <f t="shared" si="22"/>
        <v>0</v>
      </c>
      <c r="L83" s="256">
        <f t="shared" si="22"/>
        <v>2</v>
      </c>
      <c r="M83" s="256">
        <f t="shared" si="22"/>
        <v>3</v>
      </c>
      <c r="N83" s="253">
        <f ca="1">HLOOKUP($N$3,'City Scorecard Scores'!$B$1:$CZ$87,81,FALSE)</f>
        <v>3</v>
      </c>
    </row>
    <row r="84" spans="2:14" s="9" customFormat="1" outlineLevel="1">
      <c r="B84" s="11" t="str">
        <f ca="1">Transportation!A49</f>
        <v>Incentives to Encourage Creation of Mixed-Use Communities</v>
      </c>
      <c r="C84" s="71">
        <v>1.5</v>
      </c>
      <c r="D84" s="71">
        <f ca="1">Transportation!E49</f>
        <v>0</v>
      </c>
      <c r="E84" s="330"/>
      <c r="F84" s="262">
        <f ca="1">IF(Transportation!$E$49="",0,'Peer City Scores'!C82)</f>
        <v>0.5</v>
      </c>
      <c r="G84" s="262">
        <f ca="1">IF(Transportation!$E$49="",0,'Peer City Scores'!D82)</f>
        <v>0</v>
      </c>
      <c r="H84" s="262">
        <f ca="1">IF(Transportation!$E$49="",0,'Peer City Scores'!E82)</f>
        <v>0</v>
      </c>
      <c r="I84" s="262">
        <f ca="1">IF(Transportation!$E$49="",0,'Peer City Scores'!F82)</f>
        <v>0</v>
      </c>
      <c r="J84" s="262">
        <f ca="1">IF(Transportation!$E$49="",0,'Peer City Scores'!G82)</f>
        <v>1</v>
      </c>
      <c r="K84" s="262">
        <f ca="1">IF(Transportation!$E$49="",0,'Peer City Scores'!H82)</f>
        <v>0</v>
      </c>
      <c r="L84" s="262">
        <f ca="1">IF(Transportation!$E$49="",0,'Peer City Scores'!I82)</f>
        <v>0</v>
      </c>
      <c r="M84" s="262">
        <f ca="1">IF(Transportation!$E$49="",0,'Peer City Scores'!J82)</f>
        <v>0</v>
      </c>
      <c r="N84" s="258">
        <f ca="1">HLOOKUP($N$3,'City Scorecard Scores'!$B$1:$CZ$87,82,FALSE)</f>
        <v>1</v>
      </c>
    </row>
    <row r="85" spans="2:14" s="9" customFormat="1" outlineLevel="1">
      <c r="B85" s="11" t="str">
        <f ca="1">Transportation!A50</f>
        <v>Transportation Demand Management Programs</v>
      </c>
      <c r="C85" s="71">
        <v>2</v>
      </c>
      <c r="D85" s="71">
        <f ca="1">Transportation!E50</f>
        <v>1</v>
      </c>
      <c r="E85" s="330"/>
      <c r="F85" s="262">
        <f ca="1">IF(Transportation!$E$50="",0,'Peer City Scores'!C83)</f>
        <v>2</v>
      </c>
      <c r="G85" s="262">
        <f ca="1">IF(Transportation!$E$50="",0,'Peer City Scores'!D83)</f>
        <v>2</v>
      </c>
      <c r="H85" s="262">
        <f ca="1">IF(Transportation!$E$50="",0,'Peer City Scores'!E83)</f>
        <v>1</v>
      </c>
      <c r="I85" s="262">
        <f ca="1">IF(Transportation!$E$50="",0,'Peer City Scores'!F83)</f>
        <v>0</v>
      </c>
      <c r="J85" s="262">
        <f ca="1">IF(Transportation!$E$50="",0,'Peer City Scores'!G83)</f>
        <v>0</v>
      </c>
      <c r="K85" s="262">
        <f ca="1">IF(Transportation!$E$50="",0,'Peer City Scores'!H83)</f>
        <v>0</v>
      </c>
      <c r="L85" s="262">
        <f ca="1">IF(Transportation!$E$50="",0,'Peer City Scores'!I83)</f>
        <v>2</v>
      </c>
      <c r="M85" s="262">
        <f ca="1">IF(Transportation!$E$50="",0,'Peer City Scores'!J83)</f>
        <v>2</v>
      </c>
      <c r="N85" s="258">
        <f ca="1">HLOOKUP($N$3,'City Scorecard Scores'!$B$1:$CZ$87,83,FALSE)</f>
        <v>2</v>
      </c>
    </row>
    <row r="86" spans="2:14" s="9" customFormat="1" outlineLevel="1">
      <c r="B86" s="11" t="str">
        <f ca="1">Transportation!A51</f>
        <v xml:space="preserve">Vehicle Purchase Incentives </v>
      </c>
      <c r="C86" s="71">
        <v>1</v>
      </c>
      <c r="D86" s="71">
        <f ca="1">Transportation!E51</f>
        <v>0</v>
      </c>
      <c r="E86" s="330"/>
      <c r="F86" s="262">
        <f ca="1">IF(Transportation!$E$51="",0,'Peer City Scores'!C84)</f>
        <v>0</v>
      </c>
      <c r="G86" s="262">
        <f ca="1">IF(Transportation!$E$51="",0,'Peer City Scores'!D84)</f>
        <v>0</v>
      </c>
      <c r="H86" s="262">
        <f ca="1">IF(Transportation!$E$51="",0,'Peer City Scores'!E84)</f>
        <v>0</v>
      </c>
      <c r="I86" s="262">
        <f ca="1">IF(Transportation!$E$51="",0,'Peer City Scores'!F84)</f>
        <v>0</v>
      </c>
      <c r="J86" s="262">
        <f ca="1">IF(Transportation!$E$51="",0,'Peer City Scores'!G84)</f>
        <v>1</v>
      </c>
      <c r="K86" s="262">
        <f ca="1">IF(Transportation!$E$51="",0,'Peer City Scores'!H84)</f>
        <v>0</v>
      </c>
      <c r="L86" s="262">
        <f ca="1">IF(Transportation!$E$51="",0,'Peer City Scores'!I84)</f>
        <v>0</v>
      </c>
      <c r="M86" s="262">
        <f ca="1">IF(Transportation!$E$51="",0,'Peer City Scores'!J84)</f>
        <v>1</v>
      </c>
      <c r="N86" s="258">
        <f ca="1">HLOOKUP($N$3,'City Scorecard Scores'!$B$1:$CZ$87,84,FALSE)</f>
        <v>0</v>
      </c>
    </row>
    <row r="87" spans="2:14" s="9" customFormat="1" outlineLevel="1">
      <c r="B87" s="11" t="str">
        <f ca="1">Transportation!A52</f>
        <v xml:space="preserve">Vehicle Charging Infrastructure Incentives </v>
      </c>
      <c r="C87" s="71">
        <v>0.5</v>
      </c>
      <c r="D87" s="71" t="str">
        <f ca="1">Transportation!E52</f>
        <v/>
      </c>
      <c r="E87" s="330"/>
      <c r="F87" s="262">
        <f ca="1">IF(Transportation!$E$52="",0,'Peer City Scores'!C85)</f>
        <v>0</v>
      </c>
      <c r="G87" s="262">
        <f ca="1">IF(Transportation!$E$52="",0,'Peer City Scores'!D85)</f>
        <v>0</v>
      </c>
      <c r="H87" s="262">
        <f ca="1">IF(Transportation!$E$52="",0,'Peer City Scores'!E85)</f>
        <v>0</v>
      </c>
      <c r="I87" s="262">
        <f ca="1">IF(Transportation!$E$52="",0,'Peer City Scores'!F85)</f>
        <v>0</v>
      </c>
      <c r="J87" s="262">
        <f ca="1">IF(Transportation!$E$52="",0,'Peer City Scores'!G85)</f>
        <v>0</v>
      </c>
      <c r="K87" s="262">
        <f ca="1">IF(Transportation!$E$52="",0,'Peer City Scores'!H85)</f>
        <v>0</v>
      </c>
      <c r="L87" s="262">
        <f ca="1">IF(Transportation!$E$52="",0,'Peer City Scores'!I85)</f>
        <v>0</v>
      </c>
      <c r="M87" s="262">
        <f ca="1">IF(Transportation!$E$52="",0,'Peer City Scores'!J85)</f>
        <v>0</v>
      </c>
      <c r="N87" s="258">
        <f ca="1">HLOOKUP($N$3,'City Scorecard Scores'!$B$1:$CZ$87,85,FALSE)</f>
        <v>0</v>
      </c>
    </row>
  </sheetData>
  <sheetProtection password="C6D8" sheet="1" objects="1" scenarios="1"/>
  <mergeCells count="2">
    <mergeCell ref="B2:N2"/>
    <mergeCell ref="E3:E87"/>
  </mergeCells>
  <phoneticPr fontId="43" type="noConversion"/>
  <pageMargins left="0.7" right="0.7" top="0.75" bottom="0.75" header="0.3" footer="0.3"/>
  <pageSetup orientation="portrait" r:id="rId1"/>
  <ignoredErrors>
    <ignoredError sqref="H28 G40:H40 H61 H74 G74 H63 G77 H77 G83 H83" formula="1"/>
  </ignoredErrors>
  <legacyDrawing r:id="rId2"/>
</worksheet>
</file>

<file path=xl/worksheets/sheet12.xml><?xml version="1.0" encoding="utf-8"?>
<worksheet xmlns="http://schemas.openxmlformats.org/spreadsheetml/2006/main" xmlns:r="http://schemas.openxmlformats.org/officeDocument/2006/relationships">
  <sheetPr codeName="Sheet12"/>
  <dimension ref="B1:Q88"/>
  <sheetViews>
    <sheetView zoomScale="75" zoomScaleNormal="75" workbookViewId="0">
      <selection activeCell="B6" sqref="B6"/>
    </sheetView>
  </sheetViews>
  <sheetFormatPr defaultRowHeight="15" outlineLevelRow="1"/>
  <cols>
    <col min="1" max="1" width="5" customWidth="1"/>
    <col min="2" max="2" width="65.85546875" customWidth="1"/>
    <col min="3" max="3" width="12.5703125" customWidth="1"/>
    <col min="4" max="4" width="11.5703125" bestFit="1" customWidth="1"/>
    <col min="5" max="5" width="13.7109375" bestFit="1" customWidth="1"/>
    <col min="6" max="6" width="12" bestFit="1" customWidth="1"/>
    <col min="7" max="8" width="12.7109375" bestFit="1" customWidth="1"/>
    <col min="9" max="9" width="12.5703125" bestFit="1" customWidth="1"/>
    <col min="10" max="10" width="12.28515625" bestFit="1" customWidth="1"/>
    <col min="15" max="15" width="20.28515625" bestFit="1" customWidth="1"/>
    <col min="17" max="17" width="10.140625" bestFit="1" customWidth="1"/>
  </cols>
  <sheetData>
    <row r="1" spans="2:17" ht="15.75" thickBot="1"/>
    <row r="2" spans="2:17" ht="15" customHeight="1">
      <c r="B2" s="306" t="s">
        <v>1702</v>
      </c>
      <c r="C2" s="307"/>
      <c r="D2" s="307"/>
      <c r="E2" s="307"/>
      <c r="F2" s="307"/>
      <c r="G2" s="307"/>
      <c r="H2" s="307"/>
      <c r="I2" s="307"/>
      <c r="J2" s="307"/>
      <c r="K2" s="10"/>
      <c r="L2" s="328" t="s">
        <v>1703</v>
      </c>
      <c r="M2" s="328"/>
      <c r="N2" s="328"/>
      <c r="O2" s="328"/>
    </row>
    <row r="3" spans="2:17" s="9" customFormat="1">
      <c r="B3" s="65" t="s">
        <v>469</v>
      </c>
      <c r="C3" s="231">
        <v>12.25</v>
      </c>
      <c r="D3" s="212">
        <v>12</v>
      </c>
      <c r="E3" s="219">
        <v>5</v>
      </c>
      <c r="F3" s="212">
        <v>4.25</v>
      </c>
      <c r="G3" s="212">
        <v>10.75</v>
      </c>
      <c r="H3" s="212">
        <v>5.75</v>
      </c>
      <c r="I3" s="212">
        <v>6.75</v>
      </c>
      <c r="J3" s="212">
        <v>9.75</v>
      </c>
      <c r="L3" s="9">
        <f>MAX(C3:J3)</f>
        <v>12.25</v>
      </c>
      <c r="M3" s="206">
        <f>L3/Q3</f>
        <v>0.81666666666666665</v>
      </c>
      <c r="N3" s="206" t="str">
        <f>TEXT(M3,"0%")</f>
        <v>82%</v>
      </c>
      <c r="O3" s="9" t="str">
        <f>HLOOKUP(L3,C3:J88,86,FALSE)</f>
        <v>Arlington County, VA</v>
      </c>
      <c r="Q3" s="233">
        <f>Q4+Q10+Q13</f>
        <v>15</v>
      </c>
    </row>
    <row r="4" spans="2:17" s="9" customFormat="1">
      <c r="B4" s="38" t="s">
        <v>129</v>
      </c>
      <c r="C4" s="227">
        <v>2.5</v>
      </c>
      <c r="D4" s="213">
        <v>2.5</v>
      </c>
      <c r="E4" s="220">
        <v>1.25</v>
      </c>
      <c r="F4" s="213">
        <v>2</v>
      </c>
      <c r="G4" s="213">
        <v>3</v>
      </c>
      <c r="H4" s="213">
        <v>1.25</v>
      </c>
      <c r="I4" s="213">
        <v>2.5</v>
      </c>
      <c r="J4" s="213">
        <v>2.5</v>
      </c>
      <c r="K4" s="69"/>
      <c r="L4" s="9">
        <f>MAX(C4:J4)</f>
        <v>3</v>
      </c>
      <c r="M4" s="206">
        <f>L4/Q4</f>
        <v>0.75</v>
      </c>
      <c r="N4" s="206" t="str">
        <f>TEXT(M4,"0%")</f>
        <v>75%</v>
      </c>
      <c r="O4" s="9" t="str">
        <f>HLOOKUP(L4,C4:J89,85,FALSE)</f>
        <v>Knoxville, TN</v>
      </c>
      <c r="Q4" s="222">
        <f>SUM(Q5:Q9)</f>
        <v>4</v>
      </c>
    </row>
    <row r="5" spans="2:17" s="9" customFormat="1" outlineLevel="1">
      <c r="B5" s="11" t="str">
        <f ca="1">'Detailed Analysis'!B7</f>
        <v>Dedicated Staff</v>
      </c>
      <c r="C5" s="226">
        <v>0.5</v>
      </c>
      <c r="D5" s="214">
        <v>0</v>
      </c>
      <c r="E5" s="221">
        <v>0.5</v>
      </c>
      <c r="F5" s="214">
        <v>0.5</v>
      </c>
      <c r="G5" s="214">
        <v>0.5</v>
      </c>
      <c r="H5" s="214">
        <v>0.5</v>
      </c>
      <c r="I5" s="214">
        <v>0.5</v>
      </c>
      <c r="J5" s="214">
        <v>0.5</v>
      </c>
      <c r="K5" s="69"/>
      <c r="M5" s="206"/>
      <c r="N5" s="206"/>
      <c r="Q5" s="235">
        <v>0.5</v>
      </c>
    </row>
    <row r="6" spans="2:17" s="9" customFormat="1" outlineLevel="1">
      <c r="B6" s="11" t="s">
        <v>597</v>
      </c>
      <c r="C6" s="226">
        <v>0.5</v>
      </c>
      <c r="D6" s="214">
        <v>0.5</v>
      </c>
      <c r="E6" s="221">
        <v>0.25</v>
      </c>
      <c r="F6" s="214">
        <v>1</v>
      </c>
      <c r="G6" s="214">
        <v>1</v>
      </c>
      <c r="H6" s="214">
        <v>0.25</v>
      </c>
      <c r="I6" s="214">
        <v>0.5</v>
      </c>
      <c r="J6" s="214">
        <v>0.5</v>
      </c>
      <c r="K6" s="69"/>
      <c r="M6" s="206"/>
      <c r="N6" s="206"/>
      <c r="Q6" s="235">
        <v>1</v>
      </c>
    </row>
    <row r="7" spans="2:17" s="9" customFormat="1" outlineLevel="1">
      <c r="B7" s="11" t="s">
        <v>48</v>
      </c>
      <c r="C7" s="226">
        <v>0.5</v>
      </c>
      <c r="D7" s="214">
        <v>0.5</v>
      </c>
      <c r="E7" s="221">
        <v>0.5</v>
      </c>
      <c r="F7" s="214">
        <v>0</v>
      </c>
      <c r="G7" s="214">
        <v>0.5</v>
      </c>
      <c r="H7" s="214">
        <v>0</v>
      </c>
      <c r="I7" s="214">
        <v>0.5</v>
      </c>
      <c r="J7" s="214">
        <v>0.5</v>
      </c>
      <c r="K7" s="69"/>
      <c r="M7" s="206"/>
      <c r="N7" s="206"/>
      <c r="Q7" s="235">
        <v>0.5</v>
      </c>
    </row>
    <row r="8" spans="2:17" s="9" customFormat="1" outlineLevel="1">
      <c r="B8" s="11" t="s">
        <v>50</v>
      </c>
      <c r="C8" s="226">
        <v>0</v>
      </c>
      <c r="D8" s="214">
        <v>0.5</v>
      </c>
      <c r="E8" s="221">
        <v>0</v>
      </c>
      <c r="F8" s="214">
        <v>0</v>
      </c>
      <c r="G8" s="214">
        <v>0.5</v>
      </c>
      <c r="H8" s="214">
        <v>0</v>
      </c>
      <c r="I8" s="214">
        <v>0</v>
      </c>
      <c r="J8" s="214">
        <v>0</v>
      </c>
      <c r="K8" s="69"/>
      <c r="M8" s="206"/>
      <c r="N8" s="206"/>
      <c r="Q8" s="235">
        <v>1</v>
      </c>
    </row>
    <row r="9" spans="2:17" s="9" customFormat="1" outlineLevel="1">
      <c r="B9" s="11" t="s">
        <v>253</v>
      </c>
      <c r="C9" s="226">
        <v>1</v>
      </c>
      <c r="D9" s="214">
        <v>1</v>
      </c>
      <c r="E9" s="221">
        <v>0</v>
      </c>
      <c r="F9" s="214">
        <v>0.5</v>
      </c>
      <c r="G9" s="214">
        <v>0.5</v>
      </c>
      <c r="H9" s="214">
        <v>0.5</v>
      </c>
      <c r="I9" s="214">
        <v>1</v>
      </c>
      <c r="J9" s="214">
        <v>1</v>
      </c>
      <c r="K9" s="69"/>
      <c r="M9" s="206"/>
      <c r="N9" s="206"/>
      <c r="Q9" s="235">
        <v>1</v>
      </c>
    </row>
    <row r="10" spans="2:17" s="9" customFormat="1">
      <c r="B10" s="38" t="s">
        <v>127</v>
      </c>
      <c r="C10" s="227">
        <v>2</v>
      </c>
      <c r="D10" s="213">
        <v>2</v>
      </c>
      <c r="E10" s="222">
        <v>0.5</v>
      </c>
      <c r="F10" s="213">
        <v>0</v>
      </c>
      <c r="G10" s="213">
        <v>2</v>
      </c>
      <c r="H10" s="213">
        <v>1.25</v>
      </c>
      <c r="I10" s="213">
        <v>0.75</v>
      </c>
      <c r="J10" s="213">
        <v>2</v>
      </c>
      <c r="K10" s="69"/>
      <c r="L10" s="9">
        <f>MAX(C10:J10)</f>
        <v>2</v>
      </c>
      <c r="M10" s="206">
        <f>L10/Q10</f>
        <v>1</v>
      </c>
      <c r="N10" s="206" t="str">
        <f>TEXT(M10,"0%")</f>
        <v>100%</v>
      </c>
      <c r="O10" s="9" t="str">
        <f>HLOOKUP(L10,C10:J94,79,FALSE)</f>
        <v>Arlington County, VA</v>
      </c>
      <c r="Q10" s="222">
        <v>2</v>
      </c>
    </row>
    <row r="11" spans="2:17" s="9" customFormat="1" outlineLevel="1">
      <c r="B11" s="11" t="s">
        <v>612</v>
      </c>
      <c r="C11" s="226">
        <v>1</v>
      </c>
      <c r="D11" s="214">
        <v>1</v>
      </c>
      <c r="E11" s="221">
        <v>0.5</v>
      </c>
      <c r="F11" s="214">
        <v>0</v>
      </c>
      <c r="G11" s="214">
        <v>1</v>
      </c>
      <c r="H11" s="214">
        <v>0.75</v>
      </c>
      <c r="I11" s="214">
        <v>0.5</v>
      </c>
      <c r="J11" s="214">
        <v>1</v>
      </c>
      <c r="K11" s="69"/>
      <c r="M11" s="206"/>
      <c r="N11" s="206"/>
      <c r="Q11" s="235">
        <v>1</v>
      </c>
    </row>
    <row r="12" spans="2:17" s="9" customFormat="1" outlineLevel="1">
      <c r="B12" s="11" t="s">
        <v>615</v>
      </c>
      <c r="C12" s="226">
        <v>1</v>
      </c>
      <c r="D12" s="214">
        <v>1</v>
      </c>
      <c r="E12" s="221">
        <v>0</v>
      </c>
      <c r="F12" s="214">
        <v>0</v>
      </c>
      <c r="G12" s="214">
        <v>1</v>
      </c>
      <c r="H12" s="214">
        <v>0.5</v>
      </c>
      <c r="I12" s="214">
        <v>0.25</v>
      </c>
      <c r="J12" s="214">
        <v>1</v>
      </c>
      <c r="K12" s="69"/>
      <c r="M12" s="206"/>
      <c r="N12" s="206"/>
      <c r="Q12" s="235">
        <v>1</v>
      </c>
    </row>
    <row r="13" spans="2:17" s="9" customFormat="1">
      <c r="B13" s="38" t="s">
        <v>130</v>
      </c>
      <c r="C13" s="232">
        <v>7.75</v>
      </c>
      <c r="D13" s="213">
        <v>7.5</v>
      </c>
      <c r="E13" s="222">
        <v>3.25</v>
      </c>
      <c r="F13" s="213">
        <v>2.25</v>
      </c>
      <c r="G13" s="213">
        <v>5.75</v>
      </c>
      <c r="H13" s="213">
        <v>3.25</v>
      </c>
      <c r="I13" s="213">
        <v>3.5</v>
      </c>
      <c r="J13" s="213">
        <v>5.25</v>
      </c>
      <c r="K13" s="69"/>
      <c r="L13" s="9">
        <f>MAX(C13:J13)</f>
        <v>7.75</v>
      </c>
      <c r="M13" s="206">
        <f>L13/Q13</f>
        <v>0.86111111111111116</v>
      </c>
      <c r="N13" s="206" t="str">
        <f>TEXT(M13,"0%")</f>
        <v>86%</v>
      </c>
      <c r="O13" s="9" t="str">
        <f>HLOOKUP(L13,C13:J97,76,FALSE)</f>
        <v>Arlington County, VA</v>
      </c>
      <c r="Q13" s="222">
        <v>9</v>
      </c>
    </row>
    <row r="14" spans="2:17" s="9" customFormat="1" outlineLevel="1">
      <c r="B14" s="11" t="s">
        <v>618</v>
      </c>
      <c r="C14" s="226">
        <v>2</v>
      </c>
      <c r="D14" s="214">
        <v>2</v>
      </c>
      <c r="E14" s="221">
        <v>1</v>
      </c>
      <c r="F14" s="214">
        <v>2</v>
      </c>
      <c r="G14" s="214">
        <v>1</v>
      </c>
      <c r="H14" s="214">
        <v>0</v>
      </c>
      <c r="I14" s="214">
        <v>0</v>
      </c>
      <c r="J14" s="214">
        <v>1</v>
      </c>
      <c r="M14" s="206"/>
      <c r="N14" s="206"/>
      <c r="Q14" s="235">
        <v>2</v>
      </c>
    </row>
    <row r="15" spans="2:17" s="9" customFormat="1" outlineLevel="1">
      <c r="B15" s="11" t="s">
        <v>622</v>
      </c>
      <c r="C15" s="226">
        <v>1.5</v>
      </c>
      <c r="D15" s="214">
        <v>1.5</v>
      </c>
      <c r="E15" s="221">
        <v>0.5</v>
      </c>
      <c r="F15" s="214">
        <v>0</v>
      </c>
      <c r="G15" s="214">
        <v>1</v>
      </c>
      <c r="H15" s="214">
        <v>1</v>
      </c>
      <c r="I15" s="214">
        <v>0.5</v>
      </c>
      <c r="J15" s="214">
        <v>1.5</v>
      </c>
      <c r="M15" s="206"/>
      <c r="N15" s="206"/>
      <c r="Q15" s="235">
        <v>1.5</v>
      </c>
    </row>
    <row r="16" spans="2:17" s="9" customFormat="1" outlineLevel="1">
      <c r="B16" s="11" t="s">
        <v>49</v>
      </c>
      <c r="C16" s="226">
        <v>0.5</v>
      </c>
      <c r="D16" s="214">
        <v>0.5</v>
      </c>
      <c r="E16" s="221">
        <v>0</v>
      </c>
      <c r="F16" s="214">
        <v>0</v>
      </c>
      <c r="G16" s="214">
        <v>0</v>
      </c>
      <c r="H16" s="214">
        <v>0</v>
      </c>
      <c r="I16" s="214">
        <v>0.25</v>
      </c>
      <c r="J16" s="214">
        <v>0</v>
      </c>
      <c r="L16" s="112"/>
      <c r="M16" s="206"/>
      <c r="N16" s="206"/>
      <c r="Q16" s="235">
        <v>0.5</v>
      </c>
    </row>
    <row r="17" spans="2:17" s="9" customFormat="1" outlineLevel="1">
      <c r="B17" s="11" t="s">
        <v>51</v>
      </c>
      <c r="C17" s="226">
        <v>0.5</v>
      </c>
      <c r="D17" s="214">
        <v>0.5</v>
      </c>
      <c r="E17" s="221">
        <v>0</v>
      </c>
      <c r="F17" s="214">
        <v>0</v>
      </c>
      <c r="G17" s="214">
        <v>0.5</v>
      </c>
      <c r="H17" s="214">
        <v>0.5</v>
      </c>
      <c r="I17" s="214">
        <v>0</v>
      </c>
      <c r="J17" s="214">
        <v>0.5</v>
      </c>
      <c r="M17" s="206"/>
      <c r="N17" s="206"/>
      <c r="Q17" s="235">
        <v>0.5</v>
      </c>
    </row>
    <row r="18" spans="2:17" s="9" customFormat="1" outlineLevel="1">
      <c r="B18" s="11" t="s">
        <v>629</v>
      </c>
      <c r="C18" s="226">
        <v>1.5</v>
      </c>
      <c r="D18" s="214">
        <v>0.5</v>
      </c>
      <c r="E18" s="221">
        <v>1.25</v>
      </c>
      <c r="F18" s="214">
        <v>0.25</v>
      </c>
      <c r="G18" s="214">
        <v>2</v>
      </c>
      <c r="H18" s="214">
        <v>0.75</v>
      </c>
      <c r="I18" s="214">
        <v>1.5</v>
      </c>
      <c r="J18" s="214">
        <v>1.25</v>
      </c>
      <c r="M18" s="206"/>
      <c r="N18" s="206"/>
      <c r="Q18" s="235">
        <v>2</v>
      </c>
    </row>
    <row r="19" spans="2:17" s="9" customFormat="1" outlineLevel="1">
      <c r="B19" s="11" t="s">
        <v>47</v>
      </c>
      <c r="C19" s="226">
        <v>0.25</v>
      </c>
      <c r="D19" s="214">
        <v>0.5</v>
      </c>
      <c r="E19" s="221">
        <v>0</v>
      </c>
      <c r="F19" s="214">
        <v>0</v>
      </c>
      <c r="G19" s="214">
        <v>0.25</v>
      </c>
      <c r="H19" s="214">
        <v>0</v>
      </c>
      <c r="I19" s="214">
        <v>0.25</v>
      </c>
      <c r="J19" s="214">
        <v>0</v>
      </c>
      <c r="M19" s="206"/>
      <c r="N19" s="206"/>
      <c r="Q19" s="235">
        <v>0.5</v>
      </c>
    </row>
    <row r="20" spans="2:17" s="9" customFormat="1" outlineLevel="1">
      <c r="B20" s="11" t="s">
        <v>639</v>
      </c>
      <c r="C20" s="226">
        <v>0.5</v>
      </c>
      <c r="D20" s="214">
        <v>1</v>
      </c>
      <c r="E20" s="221">
        <v>0.5</v>
      </c>
      <c r="F20" s="214">
        <v>0</v>
      </c>
      <c r="G20" s="214">
        <v>1</v>
      </c>
      <c r="H20" s="214">
        <v>1</v>
      </c>
      <c r="I20" s="214">
        <v>1</v>
      </c>
      <c r="J20" s="214">
        <v>1</v>
      </c>
      <c r="M20" s="206"/>
      <c r="N20" s="206"/>
      <c r="Q20" s="235">
        <v>1</v>
      </c>
    </row>
    <row r="21" spans="2:17" s="9" customFormat="1" outlineLevel="1">
      <c r="B21" s="11" t="s">
        <v>607</v>
      </c>
      <c r="C21" s="226">
        <v>1</v>
      </c>
      <c r="D21" s="214">
        <v>1</v>
      </c>
      <c r="E21" s="221">
        <v>0</v>
      </c>
      <c r="F21" s="214">
        <v>0</v>
      </c>
      <c r="G21" s="214">
        <v>0</v>
      </c>
      <c r="H21" s="214">
        <v>0</v>
      </c>
      <c r="I21" s="214">
        <v>0</v>
      </c>
      <c r="J21" s="214">
        <v>0</v>
      </c>
      <c r="M21" s="206"/>
      <c r="N21" s="206"/>
      <c r="Q21" s="235">
        <v>1</v>
      </c>
    </row>
    <row r="22" spans="2:17" s="9" customFormat="1">
      <c r="B22" s="65" t="s">
        <v>119</v>
      </c>
      <c r="C22" s="233">
        <v>4</v>
      </c>
      <c r="D22" s="212">
        <v>6.5</v>
      </c>
      <c r="E22" s="223">
        <v>4</v>
      </c>
      <c r="F22" s="212">
        <v>5.5</v>
      </c>
      <c r="G22" s="212">
        <v>3.5</v>
      </c>
      <c r="H22" s="212">
        <v>2</v>
      </c>
      <c r="I22" s="212">
        <v>7</v>
      </c>
      <c r="J22" s="212">
        <v>3</v>
      </c>
      <c r="L22" s="9">
        <f>MAX(C22:J22)</f>
        <v>7</v>
      </c>
      <c r="M22" s="206">
        <f>L22/Q22</f>
        <v>0.7</v>
      </c>
      <c r="N22" s="206" t="str">
        <f>TEXT(M22,"0%")</f>
        <v>70%</v>
      </c>
      <c r="O22" s="9" t="str">
        <f>HLOOKUP(L22,C22:J106,67,FALSE)</f>
        <v>Madison, WI</v>
      </c>
      <c r="Q22" s="233">
        <f>Q23+Q26+Q28</f>
        <v>10</v>
      </c>
    </row>
    <row r="23" spans="2:17" s="9" customFormat="1">
      <c r="B23" s="38" t="s">
        <v>133</v>
      </c>
      <c r="C23" s="227">
        <v>0.5</v>
      </c>
      <c r="D23" s="213">
        <v>1.5</v>
      </c>
      <c r="E23" s="222">
        <v>1</v>
      </c>
      <c r="F23" s="213">
        <v>0.5</v>
      </c>
      <c r="G23" s="213">
        <v>1.5</v>
      </c>
      <c r="H23" s="213">
        <v>0.5</v>
      </c>
      <c r="I23" s="213">
        <v>1.5</v>
      </c>
      <c r="J23" s="213">
        <v>0.5</v>
      </c>
      <c r="K23" s="69"/>
      <c r="L23" s="9">
        <f>MAX(C23:J23)</f>
        <v>1.5</v>
      </c>
      <c r="M23" s="206">
        <f>L23/Q23</f>
        <v>1</v>
      </c>
      <c r="N23" s="206" t="str">
        <f>TEXT(M23,"0%")</f>
        <v>100%</v>
      </c>
      <c r="O23" s="9" t="str">
        <f>HLOOKUP(L23,C23:J107,66,FALSE)</f>
        <v>Boulder, CO</v>
      </c>
      <c r="Q23" s="222">
        <v>1.5</v>
      </c>
    </row>
    <row r="24" spans="2:17" s="9" customFormat="1" outlineLevel="1">
      <c r="B24" s="11" t="s">
        <v>52</v>
      </c>
      <c r="C24" s="226">
        <v>0.5</v>
      </c>
      <c r="D24" s="214">
        <v>0.5</v>
      </c>
      <c r="E24" s="221">
        <v>0</v>
      </c>
      <c r="F24" s="214">
        <v>0.5</v>
      </c>
      <c r="G24" s="214">
        <v>0.5</v>
      </c>
      <c r="H24" s="214">
        <v>0.5</v>
      </c>
      <c r="I24" s="214">
        <v>0.5</v>
      </c>
      <c r="J24" s="214">
        <v>0.5</v>
      </c>
      <c r="K24" s="69"/>
      <c r="M24" s="206"/>
      <c r="N24" s="206"/>
      <c r="Q24" s="235">
        <v>0.5</v>
      </c>
    </row>
    <row r="25" spans="2:17" s="9" customFormat="1" outlineLevel="1">
      <c r="B25" s="11" t="s">
        <v>57</v>
      </c>
      <c r="C25" s="226">
        <v>0</v>
      </c>
      <c r="D25" s="214">
        <v>1</v>
      </c>
      <c r="E25" s="221">
        <v>1</v>
      </c>
      <c r="F25" s="214">
        <v>0</v>
      </c>
      <c r="G25" s="214">
        <v>1</v>
      </c>
      <c r="H25" s="214">
        <v>0</v>
      </c>
      <c r="I25" s="214">
        <v>1</v>
      </c>
      <c r="J25" s="214">
        <v>0</v>
      </c>
      <c r="K25" s="69"/>
      <c r="M25" s="206"/>
      <c r="N25" s="206"/>
      <c r="Q25" s="235">
        <v>1</v>
      </c>
    </row>
    <row r="26" spans="2:17" s="9" customFormat="1">
      <c r="B26" s="38" t="s">
        <v>131</v>
      </c>
      <c r="C26" s="227">
        <v>0</v>
      </c>
      <c r="D26" s="213">
        <v>0.5</v>
      </c>
      <c r="E26" s="222">
        <v>0</v>
      </c>
      <c r="F26" s="213">
        <v>0</v>
      </c>
      <c r="G26" s="213">
        <v>0</v>
      </c>
      <c r="H26" s="213">
        <v>0.5</v>
      </c>
      <c r="I26" s="213">
        <v>0</v>
      </c>
      <c r="J26" s="213">
        <v>0</v>
      </c>
      <c r="K26" s="69"/>
      <c r="L26" s="9">
        <f>MAX(C26:J26)</f>
        <v>0.5</v>
      </c>
      <c r="M26" s="206">
        <f>L26/Q26</f>
        <v>1</v>
      </c>
      <c r="N26" s="206" t="str">
        <f>TEXT(M26,"0%")</f>
        <v>100%</v>
      </c>
      <c r="O26" s="9" t="str">
        <f>HLOOKUP(L26,C26:J110,63,FALSE)</f>
        <v>Boulder, CO</v>
      </c>
      <c r="Q26" s="213">
        <v>0.5</v>
      </c>
    </row>
    <row r="27" spans="2:17" s="9" customFormat="1" outlineLevel="1">
      <c r="B27" s="11" t="s">
        <v>56</v>
      </c>
      <c r="C27" s="226">
        <v>0</v>
      </c>
      <c r="D27" s="214">
        <v>0.5</v>
      </c>
      <c r="E27" s="221">
        <v>0</v>
      </c>
      <c r="F27" s="214">
        <v>0</v>
      </c>
      <c r="G27" s="214">
        <v>0</v>
      </c>
      <c r="H27" s="214">
        <v>0.5</v>
      </c>
      <c r="I27" s="214">
        <v>0</v>
      </c>
      <c r="J27" s="214">
        <v>0</v>
      </c>
      <c r="K27" s="69"/>
      <c r="M27" s="206"/>
      <c r="N27" s="206"/>
      <c r="Q27" s="236">
        <v>0.5</v>
      </c>
    </row>
    <row r="28" spans="2:17" s="9" customFormat="1">
      <c r="B28" s="38" t="s">
        <v>124</v>
      </c>
      <c r="C28" s="227">
        <v>3.5</v>
      </c>
      <c r="D28" s="213">
        <v>4.5</v>
      </c>
      <c r="E28" s="222">
        <v>3</v>
      </c>
      <c r="F28" s="213">
        <v>5</v>
      </c>
      <c r="G28" s="213">
        <v>2</v>
      </c>
      <c r="H28" s="213">
        <v>1</v>
      </c>
      <c r="I28" s="213">
        <v>5.5</v>
      </c>
      <c r="J28" s="213">
        <v>2.5</v>
      </c>
      <c r="K28" s="69"/>
      <c r="M28" s="206"/>
      <c r="N28" s="206"/>
      <c r="Q28" s="222">
        <v>8</v>
      </c>
    </row>
    <row r="29" spans="2:17" s="9" customFormat="1" outlineLevel="1">
      <c r="B29" s="11" t="s">
        <v>484</v>
      </c>
      <c r="C29" s="226">
        <v>2</v>
      </c>
      <c r="D29" s="214">
        <v>2</v>
      </c>
      <c r="E29" s="221">
        <v>2</v>
      </c>
      <c r="F29" s="214">
        <v>2</v>
      </c>
      <c r="G29" s="214">
        <v>1</v>
      </c>
      <c r="H29" s="214">
        <v>1</v>
      </c>
      <c r="I29" s="214">
        <v>2</v>
      </c>
      <c r="J29" s="214">
        <v>2</v>
      </c>
      <c r="K29" s="69"/>
      <c r="M29" s="206"/>
      <c r="N29" s="206"/>
      <c r="Q29" s="235">
        <v>2</v>
      </c>
    </row>
    <row r="30" spans="2:17" s="9" customFormat="1" outlineLevel="1">
      <c r="B30" s="11" t="s">
        <v>481</v>
      </c>
      <c r="C30" s="226">
        <v>1</v>
      </c>
      <c r="D30" s="214">
        <v>0.5</v>
      </c>
      <c r="E30" s="221">
        <v>0.5</v>
      </c>
      <c r="F30" s="214">
        <v>1</v>
      </c>
      <c r="G30" s="214">
        <v>0</v>
      </c>
      <c r="H30" s="214">
        <v>0</v>
      </c>
      <c r="I30" s="214">
        <v>0.5</v>
      </c>
      <c r="J30" s="214">
        <v>0.5</v>
      </c>
      <c r="K30" s="69"/>
      <c r="M30" s="206"/>
      <c r="N30" s="206"/>
      <c r="Q30" s="235">
        <v>2</v>
      </c>
    </row>
    <row r="31" spans="2:17" s="9" customFormat="1" outlineLevel="1">
      <c r="B31" s="11" t="s">
        <v>489</v>
      </c>
      <c r="C31" s="226">
        <v>0.5</v>
      </c>
      <c r="D31" s="214">
        <v>2</v>
      </c>
      <c r="E31" s="221">
        <v>0.5</v>
      </c>
      <c r="F31" s="214">
        <v>2</v>
      </c>
      <c r="G31" s="214">
        <v>1</v>
      </c>
      <c r="H31" s="214">
        <v>0</v>
      </c>
      <c r="I31" s="214">
        <v>3</v>
      </c>
      <c r="J31" s="214">
        <v>0</v>
      </c>
      <c r="M31" s="206"/>
      <c r="N31" s="206"/>
      <c r="Q31" s="235">
        <v>3</v>
      </c>
    </row>
    <row r="32" spans="2:17" s="9" customFormat="1" outlineLevel="1">
      <c r="B32" s="11" t="s">
        <v>53</v>
      </c>
      <c r="C32" s="226">
        <v>0</v>
      </c>
      <c r="D32" s="214">
        <v>0</v>
      </c>
      <c r="E32" s="221">
        <v>0</v>
      </c>
      <c r="F32" s="214">
        <v>0</v>
      </c>
      <c r="G32" s="214">
        <v>0</v>
      </c>
      <c r="H32" s="229">
        <v>0</v>
      </c>
      <c r="I32" s="214">
        <v>0</v>
      </c>
      <c r="J32" s="214">
        <v>0</v>
      </c>
      <c r="M32" s="206"/>
      <c r="N32" s="206"/>
      <c r="Q32" s="235">
        <v>1</v>
      </c>
    </row>
    <row r="33" spans="2:17" s="9" customFormat="1">
      <c r="B33" s="65" t="s">
        <v>120</v>
      </c>
      <c r="C33" s="224">
        <v>9.5</v>
      </c>
      <c r="D33" s="215">
        <v>11</v>
      </c>
      <c r="E33" s="224">
        <v>5</v>
      </c>
      <c r="F33" s="215">
        <v>9.5</v>
      </c>
      <c r="G33" s="215">
        <v>8.75</v>
      </c>
      <c r="H33" s="215">
        <v>9.5</v>
      </c>
      <c r="I33" s="215">
        <v>6.25</v>
      </c>
      <c r="J33" s="215">
        <v>7</v>
      </c>
      <c r="L33" s="9">
        <f>MAX(C33:J33)</f>
        <v>11</v>
      </c>
      <c r="M33" s="206">
        <f>L33/Q33</f>
        <v>0.37931034482758619</v>
      </c>
      <c r="N33" s="206" t="str">
        <f>TEXT(M33,"0%")</f>
        <v>38%</v>
      </c>
      <c r="O33" s="9" t="str">
        <f>HLOOKUP(L33,C33:J117,56,FALSE)</f>
        <v>Boulder, CO</v>
      </c>
      <c r="Q33" s="233">
        <f>Q34+Q38+Q48+Q43</f>
        <v>29</v>
      </c>
    </row>
    <row r="34" spans="2:17" s="9" customFormat="1">
      <c r="B34" s="38" t="s">
        <v>224</v>
      </c>
      <c r="C34" s="225">
        <v>3</v>
      </c>
      <c r="D34" s="216">
        <v>4.5</v>
      </c>
      <c r="E34" s="225">
        <v>3</v>
      </c>
      <c r="F34" s="216">
        <v>5.5</v>
      </c>
      <c r="G34" s="216">
        <v>2.75</v>
      </c>
      <c r="H34" s="216">
        <v>6</v>
      </c>
      <c r="I34" s="216">
        <v>1.75</v>
      </c>
      <c r="J34" s="216">
        <v>4.5</v>
      </c>
      <c r="K34" s="69"/>
      <c r="L34" s="9">
        <f>MAX(C34:J34)</f>
        <v>6</v>
      </c>
      <c r="M34" s="206">
        <f>L34/Q34</f>
        <v>1.2</v>
      </c>
      <c r="N34" s="206" t="str">
        <f>TEXT(M34,"0%")</f>
        <v>120%</v>
      </c>
      <c r="O34" s="9" t="str">
        <f>HLOOKUP(L34,C34:J118,55,FALSE)</f>
        <v>Lawrence, KS</v>
      </c>
      <c r="Q34" s="237">
        <f>SUM(Q35:Q37)</f>
        <v>5</v>
      </c>
    </row>
    <row r="35" spans="2:17" s="9" customFormat="1" outlineLevel="1">
      <c r="B35" s="11" t="s">
        <v>439</v>
      </c>
      <c r="C35" s="226">
        <v>0.5</v>
      </c>
      <c r="D35" s="217">
        <v>0.5</v>
      </c>
      <c r="E35" s="226">
        <v>0.5</v>
      </c>
      <c r="F35" s="217">
        <v>3</v>
      </c>
      <c r="G35" s="217">
        <v>0.25</v>
      </c>
      <c r="H35" s="217">
        <v>3</v>
      </c>
      <c r="I35" s="217">
        <v>0.25</v>
      </c>
      <c r="J35" s="217">
        <v>1.5</v>
      </c>
      <c r="M35" s="206"/>
      <c r="N35" s="206"/>
      <c r="Q35" s="238">
        <f>IF(OR([3]Buildings!R4="Local Code Only",[3]Buildings!R4="Local Authority Permitted"),3,1.5)</f>
        <v>1.5</v>
      </c>
    </row>
    <row r="36" spans="2:17" s="9" customFormat="1" outlineLevel="1">
      <c r="B36" s="11" t="s">
        <v>440</v>
      </c>
      <c r="C36" s="226">
        <v>0.5</v>
      </c>
      <c r="D36" s="217">
        <v>2</v>
      </c>
      <c r="E36" s="226">
        <v>0.5</v>
      </c>
      <c r="F36" s="217">
        <v>0.5</v>
      </c>
      <c r="G36" s="217">
        <v>0.5</v>
      </c>
      <c r="H36" s="217">
        <v>3</v>
      </c>
      <c r="I36" s="217">
        <v>0.5</v>
      </c>
      <c r="J36" s="217">
        <v>1.5</v>
      </c>
      <c r="M36" s="206"/>
      <c r="N36" s="206"/>
      <c r="Q36" s="238">
        <f>IF(OR([3]Buildings!R5="Local Code Only",[3]Buildings!R5="Local Authority Permitted"),3,1.5)</f>
        <v>1.5</v>
      </c>
    </row>
    <row r="37" spans="2:17" s="9" customFormat="1" outlineLevel="1">
      <c r="B37" s="11" t="s">
        <v>471</v>
      </c>
      <c r="C37" s="226">
        <v>2</v>
      </c>
      <c r="D37" s="217">
        <v>2</v>
      </c>
      <c r="E37" s="226">
        <v>2</v>
      </c>
      <c r="F37" s="217">
        <v>2</v>
      </c>
      <c r="G37" s="217">
        <v>2</v>
      </c>
      <c r="H37" s="217">
        <v>0</v>
      </c>
      <c r="I37" s="217">
        <v>1</v>
      </c>
      <c r="J37" s="217">
        <v>1.5</v>
      </c>
      <c r="M37" s="206"/>
      <c r="N37" s="206"/>
      <c r="Q37" s="238">
        <v>2</v>
      </c>
    </row>
    <row r="38" spans="2:17" s="9" customFormat="1">
      <c r="B38" s="38" t="s">
        <v>225</v>
      </c>
      <c r="C38" s="227">
        <v>2</v>
      </c>
      <c r="D38" s="213">
        <v>2.5</v>
      </c>
      <c r="E38" s="222">
        <v>0</v>
      </c>
      <c r="F38" s="213">
        <v>2</v>
      </c>
      <c r="G38" s="213">
        <v>2</v>
      </c>
      <c r="H38" s="213">
        <v>3.5</v>
      </c>
      <c r="I38" s="213">
        <v>0</v>
      </c>
      <c r="J38" s="213">
        <v>2.5</v>
      </c>
      <c r="K38" s="69"/>
      <c r="L38" s="9">
        <f>MAX(C38:J38)</f>
        <v>3.5</v>
      </c>
      <c r="M38" s="206">
        <f>L38/Q38</f>
        <v>0.3888888888888889</v>
      </c>
      <c r="N38" s="206" t="str">
        <f>TEXT(M38,"0%")</f>
        <v>39%</v>
      </c>
      <c r="O38" s="9" t="str">
        <f>HLOOKUP(L38,C38:J122,51,FALSE)</f>
        <v>Lawrence, KS</v>
      </c>
      <c r="Q38" s="222">
        <f>SUM(Q39:Q42)</f>
        <v>9</v>
      </c>
    </row>
    <row r="39" spans="2:17" s="9" customFormat="1" outlineLevel="1">
      <c r="B39" s="11" t="s">
        <v>85</v>
      </c>
      <c r="C39" s="226">
        <v>2</v>
      </c>
      <c r="D39" s="214">
        <v>2</v>
      </c>
      <c r="E39" s="221">
        <v>0</v>
      </c>
      <c r="F39" s="214">
        <v>2</v>
      </c>
      <c r="G39" s="214">
        <v>2</v>
      </c>
      <c r="H39" s="214">
        <v>2</v>
      </c>
      <c r="I39" s="214">
        <v>0</v>
      </c>
      <c r="J39" s="214">
        <v>2</v>
      </c>
      <c r="M39" s="206"/>
      <c r="N39" s="206"/>
      <c r="Q39" s="235">
        <v>2</v>
      </c>
    </row>
    <row r="40" spans="2:17" s="9" customFormat="1" outlineLevel="1">
      <c r="B40" s="11" t="s">
        <v>76</v>
      </c>
      <c r="C40" s="226">
        <v>0</v>
      </c>
      <c r="D40" s="214">
        <v>0</v>
      </c>
      <c r="E40" s="221">
        <v>0</v>
      </c>
      <c r="F40" s="214">
        <v>0</v>
      </c>
      <c r="G40" s="214">
        <v>0</v>
      </c>
      <c r="H40" s="214">
        <v>0</v>
      </c>
      <c r="I40" s="214">
        <v>0</v>
      </c>
      <c r="J40" s="214">
        <v>0</v>
      </c>
      <c r="M40" s="206"/>
      <c r="N40" s="206"/>
      <c r="Q40" s="235">
        <v>1</v>
      </c>
    </row>
    <row r="41" spans="2:17" s="9" customFormat="1" outlineLevel="1">
      <c r="B41" s="11" t="s">
        <v>472</v>
      </c>
      <c r="C41" s="226">
        <v>0</v>
      </c>
      <c r="D41" s="214">
        <v>0</v>
      </c>
      <c r="E41" s="221">
        <v>0</v>
      </c>
      <c r="F41" s="214">
        <v>0</v>
      </c>
      <c r="G41" s="214">
        <v>0</v>
      </c>
      <c r="H41" s="214">
        <v>0</v>
      </c>
      <c r="I41" s="214">
        <v>0</v>
      </c>
      <c r="J41" s="214">
        <v>0</v>
      </c>
      <c r="M41" s="206"/>
      <c r="N41" s="206"/>
      <c r="Q41" s="235">
        <v>3</v>
      </c>
    </row>
    <row r="42" spans="2:17" s="9" customFormat="1" outlineLevel="1">
      <c r="B42" s="11" t="s">
        <v>473</v>
      </c>
      <c r="C42" s="226">
        <v>0</v>
      </c>
      <c r="D42" s="214">
        <v>0.5</v>
      </c>
      <c r="E42" s="221">
        <v>0</v>
      </c>
      <c r="F42" s="214">
        <v>0</v>
      </c>
      <c r="G42" s="214">
        <v>0</v>
      </c>
      <c r="H42" s="214">
        <v>1.5</v>
      </c>
      <c r="I42" s="214">
        <v>0</v>
      </c>
      <c r="J42" s="214">
        <v>0.5</v>
      </c>
      <c r="M42" s="206"/>
      <c r="N42" s="206"/>
      <c r="Q42" s="235">
        <v>3</v>
      </c>
    </row>
    <row r="43" spans="2:17" s="9" customFormat="1">
      <c r="B43" s="38" t="s">
        <v>128</v>
      </c>
      <c r="C43" s="227">
        <v>1</v>
      </c>
      <c r="D43" s="218">
        <v>0</v>
      </c>
      <c r="E43" s="227">
        <v>0</v>
      </c>
      <c r="F43" s="218">
        <v>0</v>
      </c>
      <c r="G43" s="218">
        <v>1</v>
      </c>
      <c r="H43" s="218">
        <v>0</v>
      </c>
      <c r="I43" s="218">
        <v>0</v>
      </c>
      <c r="J43" s="218">
        <v>0</v>
      </c>
      <c r="K43" s="69"/>
      <c r="L43" s="9">
        <f>MAX(C43:J43)</f>
        <v>1</v>
      </c>
      <c r="M43" s="206">
        <f>L43/Q43</f>
        <v>0.16666666666666666</v>
      </c>
      <c r="N43" s="206" t="str">
        <f>TEXT(M43,"0%")</f>
        <v>17%</v>
      </c>
      <c r="O43" s="9" t="str">
        <f>HLOOKUP(L43,C43:J127,46,FALSE)</f>
        <v>Arlington County, VA</v>
      </c>
      <c r="Q43" s="239">
        <f>SUM(Q44:Q47)</f>
        <v>6</v>
      </c>
    </row>
    <row r="44" spans="2:17" s="9" customFormat="1">
      <c r="B44" s="11" t="s">
        <v>670</v>
      </c>
      <c r="C44" s="226">
        <v>1</v>
      </c>
      <c r="D44" s="217">
        <v>0</v>
      </c>
      <c r="E44" s="226">
        <v>0</v>
      </c>
      <c r="F44" s="217">
        <v>0</v>
      </c>
      <c r="G44" s="217">
        <v>1</v>
      </c>
      <c r="H44" s="217">
        <v>0</v>
      </c>
      <c r="I44" s="217">
        <v>0</v>
      </c>
      <c r="J44" s="217">
        <v>0</v>
      </c>
      <c r="M44" s="206"/>
      <c r="N44" s="206"/>
      <c r="Q44" s="235">
        <v>1</v>
      </c>
    </row>
    <row r="45" spans="2:17" s="9" customFormat="1" outlineLevel="1">
      <c r="B45" s="11" t="s">
        <v>73</v>
      </c>
      <c r="C45" s="226">
        <v>0</v>
      </c>
      <c r="D45" s="217">
        <v>0</v>
      </c>
      <c r="E45" s="226">
        <v>0</v>
      </c>
      <c r="F45" s="217">
        <v>0</v>
      </c>
      <c r="G45" s="217">
        <v>0</v>
      </c>
      <c r="H45" s="217">
        <v>0</v>
      </c>
      <c r="I45" s="217">
        <v>0</v>
      </c>
      <c r="J45" s="217">
        <v>0</v>
      </c>
      <c r="M45" s="206"/>
      <c r="N45" s="206"/>
      <c r="Q45" s="235">
        <f>IF(OR([3]Buildings!R4="Local Authority Permitted",[3]Buildings!R4="Local Code Only"),0,1.5)</f>
        <v>1.5</v>
      </c>
    </row>
    <row r="46" spans="2:17" s="9" customFormat="1" outlineLevel="1">
      <c r="B46" s="11" t="s">
        <v>74</v>
      </c>
      <c r="C46" s="226">
        <v>0</v>
      </c>
      <c r="D46" s="217">
        <v>0</v>
      </c>
      <c r="E46" s="226">
        <v>0</v>
      </c>
      <c r="F46" s="217">
        <v>0</v>
      </c>
      <c r="G46" s="217">
        <v>0</v>
      </c>
      <c r="H46" s="217">
        <v>0</v>
      </c>
      <c r="I46" s="217">
        <v>0</v>
      </c>
      <c r="J46" s="217">
        <v>0</v>
      </c>
      <c r="M46" s="206"/>
      <c r="N46" s="206"/>
      <c r="Q46" s="235">
        <f>IF(OR([3]Buildings!R5="Local Authority Permitted",[3]Buildings!R5="Local Code Only"),0,1.5)</f>
        <v>1.5</v>
      </c>
    </row>
    <row r="47" spans="2:17" s="9" customFormat="1" outlineLevel="1">
      <c r="B47" s="11" t="s">
        <v>441</v>
      </c>
      <c r="C47" s="226">
        <v>0</v>
      </c>
      <c r="D47" s="217">
        <v>0</v>
      </c>
      <c r="E47" s="226">
        <v>0</v>
      </c>
      <c r="F47" s="217">
        <v>0</v>
      </c>
      <c r="G47" s="217">
        <v>0</v>
      </c>
      <c r="H47" s="217">
        <v>0</v>
      </c>
      <c r="I47" s="217">
        <v>0</v>
      </c>
      <c r="J47" s="217">
        <v>0</v>
      </c>
      <c r="M47" s="206"/>
      <c r="N47" s="206"/>
      <c r="Q47" s="235">
        <v>2</v>
      </c>
    </row>
    <row r="48" spans="2:17" s="9" customFormat="1">
      <c r="B48" s="38" t="s">
        <v>125</v>
      </c>
      <c r="C48" s="227">
        <v>3.5</v>
      </c>
      <c r="D48" s="213">
        <v>4</v>
      </c>
      <c r="E48" s="222">
        <v>2</v>
      </c>
      <c r="F48" s="213">
        <v>2</v>
      </c>
      <c r="G48" s="213">
        <v>3</v>
      </c>
      <c r="H48" s="213">
        <v>0</v>
      </c>
      <c r="I48" s="213">
        <v>4.5</v>
      </c>
      <c r="J48" s="213">
        <v>0</v>
      </c>
      <c r="K48" s="69"/>
      <c r="L48" s="9">
        <f>MAX(C48:J48)</f>
        <v>4.5</v>
      </c>
      <c r="M48" s="206">
        <f>L48/Q48</f>
        <v>0.5</v>
      </c>
      <c r="N48" s="206" t="str">
        <f>TEXT(M48,"0%")</f>
        <v>50%</v>
      </c>
      <c r="O48" s="9" t="str">
        <f>HLOOKUP(L48,C48:J133,41,FALSE)</f>
        <v>Madison, WI</v>
      </c>
      <c r="Q48" s="222">
        <f>SUM(Q49:Q52)</f>
        <v>9</v>
      </c>
    </row>
    <row r="49" spans="2:17" s="9" customFormat="1" outlineLevel="1">
      <c r="B49" s="11" t="s">
        <v>475</v>
      </c>
      <c r="C49" s="226">
        <v>1</v>
      </c>
      <c r="D49" s="214">
        <v>1</v>
      </c>
      <c r="E49" s="221">
        <v>0</v>
      </c>
      <c r="F49" s="214">
        <v>0</v>
      </c>
      <c r="G49" s="214">
        <v>1</v>
      </c>
      <c r="H49" s="214">
        <v>0</v>
      </c>
      <c r="I49" s="214">
        <v>2.5</v>
      </c>
      <c r="J49" s="214">
        <v>0</v>
      </c>
      <c r="K49" s="69"/>
      <c r="M49" s="206"/>
      <c r="N49" s="206"/>
      <c r="Q49" s="235">
        <v>3</v>
      </c>
    </row>
    <row r="50" spans="2:17" s="9" customFormat="1" outlineLevel="1">
      <c r="B50" s="11" t="s">
        <v>75</v>
      </c>
      <c r="C50" s="226">
        <v>2</v>
      </c>
      <c r="D50" s="214">
        <v>2</v>
      </c>
      <c r="E50" s="221">
        <v>2</v>
      </c>
      <c r="F50" s="214">
        <v>2</v>
      </c>
      <c r="G50" s="214">
        <v>2</v>
      </c>
      <c r="H50" s="214">
        <v>0</v>
      </c>
      <c r="I50" s="214">
        <v>2</v>
      </c>
      <c r="J50" s="214">
        <v>0</v>
      </c>
      <c r="K50" s="69"/>
      <c r="M50" s="206"/>
      <c r="N50" s="206"/>
      <c r="Q50" s="235">
        <v>2</v>
      </c>
    </row>
    <row r="51" spans="2:17" s="9" customFormat="1" outlineLevel="1">
      <c r="B51" s="11" t="s">
        <v>476</v>
      </c>
      <c r="C51" s="226">
        <v>0.5</v>
      </c>
      <c r="D51" s="214">
        <v>0</v>
      </c>
      <c r="E51" s="221">
        <v>0</v>
      </c>
      <c r="F51" s="214">
        <v>0</v>
      </c>
      <c r="G51" s="214">
        <v>0</v>
      </c>
      <c r="H51" s="214">
        <v>0</v>
      </c>
      <c r="I51" s="214">
        <v>0</v>
      </c>
      <c r="J51" s="214">
        <v>0</v>
      </c>
      <c r="M51" s="206"/>
      <c r="N51" s="206"/>
      <c r="Q51" s="235">
        <v>2</v>
      </c>
    </row>
    <row r="52" spans="2:17" s="9" customFormat="1" outlineLevel="1">
      <c r="B52" s="11" t="s">
        <v>77</v>
      </c>
      <c r="C52" s="226">
        <v>0</v>
      </c>
      <c r="D52" s="214">
        <v>1</v>
      </c>
      <c r="E52" s="221">
        <v>0</v>
      </c>
      <c r="F52" s="214">
        <v>0</v>
      </c>
      <c r="G52" s="214">
        <v>0</v>
      </c>
      <c r="H52" s="214">
        <v>0</v>
      </c>
      <c r="I52" s="214">
        <v>0</v>
      </c>
      <c r="J52" s="214">
        <v>0</v>
      </c>
      <c r="M52" s="206"/>
      <c r="N52" s="206"/>
      <c r="Q52" s="235">
        <v>2</v>
      </c>
    </row>
    <row r="53" spans="2:17" s="9" customFormat="1">
      <c r="B53" s="65" t="s">
        <v>122</v>
      </c>
      <c r="C53" s="224">
        <v>5</v>
      </c>
      <c r="D53" s="215">
        <v>11.75</v>
      </c>
      <c r="E53" s="224">
        <v>5.5</v>
      </c>
      <c r="F53" s="215">
        <v>5.5</v>
      </c>
      <c r="G53" s="215">
        <v>2.5</v>
      </c>
      <c r="H53" s="215">
        <v>6.25</v>
      </c>
      <c r="I53" s="215">
        <v>6.5</v>
      </c>
      <c r="J53" s="215">
        <v>11.75</v>
      </c>
      <c r="L53" s="9">
        <f>MAX(C53:J53)</f>
        <v>11.75</v>
      </c>
      <c r="M53" s="206">
        <f>L53/Q53</f>
        <v>0.65277777777777779</v>
      </c>
      <c r="N53" s="206" t="str">
        <f>TEXT(M53,"0%")</f>
        <v>65%</v>
      </c>
      <c r="O53" s="9" t="str">
        <f>HLOOKUP(L53,C53:J139,36,FALSE)</f>
        <v>Boulder, CO</v>
      </c>
      <c r="Q53" s="233">
        <f>Q54+Q59+Q61</f>
        <v>18</v>
      </c>
    </row>
    <row r="54" spans="2:17" s="9" customFormat="1">
      <c r="B54" s="38" t="s">
        <v>671</v>
      </c>
      <c r="C54" s="234">
        <v>2.25</v>
      </c>
      <c r="D54" s="216">
        <v>4.5</v>
      </c>
      <c r="E54" s="225">
        <v>4.5</v>
      </c>
      <c r="F54" s="216">
        <v>2.5</v>
      </c>
      <c r="G54" s="216">
        <v>1</v>
      </c>
      <c r="H54" s="216">
        <v>2.75</v>
      </c>
      <c r="I54" s="216">
        <v>2.5</v>
      </c>
      <c r="J54" s="216">
        <v>6.75</v>
      </c>
      <c r="L54" s="9">
        <f>MAX(C54:J54)</f>
        <v>6.75</v>
      </c>
      <c r="M54" s="206">
        <f>L54/Q54</f>
        <v>0.71052631578947367</v>
      </c>
      <c r="N54" s="206" t="str">
        <f>TEXT(M54,"0%")</f>
        <v>71%</v>
      </c>
      <c r="O54" s="9" t="str">
        <f>HLOOKUP(L54,C54:J140,35,FALSE)</f>
        <v>Park City, UT</v>
      </c>
      <c r="Q54" s="222">
        <v>9.5</v>
      </c>
    </row>
    <row r="55" spans="2:17" s="9" customFormat="1" outlineLevel="1">
      <c r="B55" s="11" t="s">
        <v>516</v>
      </c>
      <c r="C55" s="226">
        <v>1</v>
      </c>
      <c r="D55" s="217">
        <v>2.25</v>
      </c>
      <c r="E55" s="226">
        <v>2.5</v>
      </c>
      <c r="F55" s="217">
        <v>0.5</v>
      </c>
      <c r="G55" s="217">
        <v>0</v>
      </c>
      <c r="H55" s="217">
        <v>1.5</v>
      </c>
      <c r="I55" s="217">
        <v>0.5</v>
      </c>
      <c r="J55" s="217">
        <v>2.75</v>
      </c>
      <c r="M55" s="206"/>
      <c r="N55" s="206"/>
      <c r="Q55" s="235">
        <v>4</v>
      </c>
    </row>
    <row r="56" spans="2:17" s="9" customFormat="1" outlineLevel="1">
      <c r="B56" s="11" t="s">
        <v>517</v>
      </c>
      <c r="C56" s="228">
        <v>0.75</v>
      </c>
      <c r="D56" s="217">
        <v>0.75</v>
      </c>
      <c r="E56" s="226">
        <v>0</v>
      </c>
      <c r="F56" s="217">
        <v>0</v>
      </c>
      <c r="G56" s="217">
        <v>0</v>
      </c>
      <c r="H56" s="217">
        <v>0.75</v>
      </c>
      <c r="I56" s="217">
        <v>0</v>
      </c>
      <c r="J56" s="217">
        <v>2</v>
      </c>
      <c r="M56" s="206"/>
      <c r="N56" s="206"/>
      <c r="Q56" s="235">
        <v>3</v>
      </c>
    </row>
    <row r="57" spans="2:17" s="9" customFormat="1" outlineLevel="1">
      <c r="B57" s="11" t="s">
        <v>548</v>
      </c>
      <c r="C57" s="226">
        <v>0</v>
      </c>
      <c r="D57" s="217">
        <v>1</v>
      </c>
      <c r="E57" s="226">
        <v>2</v>
      </c>
      <c r="F57" s="217">
        <v>1.5</v>
      </c>
      <c r="G57" s="217">
        <v>0.5</v>
      </c>
      <c r="H57" s="217">
        <v>0</v>
      </c>
      <c r="I57" s="217">
        <v>1.5</v>
      </c>
      <c r="J57" s="217">
        <v>1.5</v>
      </c>
      <c r="M57" s="206"/>
      <c r="N57" s="206"/>
      <c r="Q57" s="235">
        <v>2</v>
      </c>
    </row>
    <row r="58" spans="2:17" s="9" customFormat="1" outlineLevel="1">
      <c r="B58" s="11" t="s">
        <v>549</v>
      </c>
      <c r="C58" s="226">
        <v>0.5</v>
      </c>
      <c r="D58" s="217">
        <v>0.5</v>
      </c>
      <c r="E58" s="226">
        <v>0</v>
      </c>
      <c r="F58" s="217">
        <v>0.5</v>
      </c>
      <c r="G58" s="217">
        <v>0.5</v>
      </c>
      <c r="H58" s="217">
        <v>0.5</v>
      </c>
      <c r="I58" s="217">
        <v>0.5</v>
      </c>
      <c r="J58" s="217">
        <v>0.5</v>
      </c>
      <c r="M58" s="206"/>
      <c r="N58" s="206"/>
      <c r="Q58" s="235">
        <v>0.5</v>
      </c>
    </row>
    <row r="59" spans="2:17" s="9" customFormat="1">
      <c r="B59" s="38" t="s">
        <v>126</v>
      </c>
      <c r="C59" s="232">
        <v>1.25</v>
      </c>
      <c r="D59" s="218">
        <v>1.75</v>
      </c>
      <c r="E59" s="227">
        <v>0</v>
      </c>
      <c r="F59" s="218">
        <v>0.5</v>
      </c>
      <c r="G59" s="218">
        <v>0.5</v>
      </c>
      <c r="H59" s="218">
        <v>1</v>
      </c>
      <c r="I59" s="218">
        <v>0.5</v>
      </c>
      <c r="J59" s="218">
        <v>1.5</v>
      </c>
      <c r="L59" s="9">
        <f>MAX(C59:J59)</f>
        <v>1.75</v>
      </c>
      <c r="M59" s="206">
        <f>L59/Q59</f>
        <v>0.875</v>
      </c>
      <c r="N59" s="206" t="str">
        <f>TEXT(M59,"0%")</f>
        <v>88%</v>
      </c>
      <c r="O59" s="9" t="str">
        <f>HLOOKUP(L59,C59:J145,30,FALSE)</f>
        <v>Boulder, CO</v>
      </c>
      <c r="Q59" s="222">
        <v>2</v>
      </c>
    </row>
    <row r="60" spans="2:17" s="9" customFormat="1" outlineLevel="1">
      <c r="B60" s="11" t="s">
        <v>518</v>
      </c>
      <c r="C60" s="228">
        <v>1.25</v>
      </c>
      <c r="D60" s="217">
        <v>1.75</v>
      </c>
      <c r="E60" s="226">
        <v>0</v>
      </c>
      <c r="F60" s="217">
        <v>0.5</v>
      </c>
      <c r="G60" s="217">
        <v>0.5</v>
      </c>
      <c r="H60" s="217">
        <v>1</v>
      </c>
      <c r="I60" s="217">
        <v>0.5</v>
      </c>
      <c r="J60" s="217">
        <v>1.5</v>
      </c>
      <c r="M60" s="206"/>
      <c r="N60" s="206"/>
      <c r="Q60" s="235">
        <v>2</v>
      </c>
    </row>
    <row r="61" spans="2:17" s="9" customFormat="1">
      <c r="B61" s="38" t="s">
        <v>132</v>
      </c>
      <c r="C61" s="227">
        <v>1.5</v>
      </c>
      <c r="D61" s="218">
        <v>5.5</v>
      </c>
      <c r="E61" s="227">
        <v>1</v>
      </c>
      <c r="F61" s="218">
        <v>2.5</v>
      </c>
      <c r="G61" s="218">
        <v>1</v>
      </c>
      <c r="H61" s="218">
        <v>2.5</v>
      </c>
      <c r="I61" s="218">
        <v>3.5</v>
      </c>
      <c r="J61" s="218">
        <v>3.5</v>
      </c>
      <c r="L61" s="9">
        <f>MAX(C61:J61)</f>
        <v>5.5</v>
      </c>
      <c r="M61" s="206">
        <f>L61/Q61</f>
        <v>0.84615384615384615</v>
      </c>
      <c r="N61" s="206" t="str">
        <f>TEXT(M61,"0%")</f>
        <v>85%</v>
      </c>
      <c r="O61" s="9" t="str">
        <f>HLOOKUP(L61,C61:J147,28,FALSE)</f>
        <v>Boulder, CO</v>
      </c>
      <c r="Q61" s="222">
        <f>SUM(Q62:Q65)</f>
        <v>6.5</v>
      </c>
    </row>
    <row r="62" spans="2:17" s="9" customFormat="1" outlineLevel="1">
      <c r="B62" s="11" t="s">
        <v>554</v>
      </c>
      <c r="C62" s="226">
        <v>0</v>
      </c>
      <c r="D62" s="217">
        <v>1</v>
      </c>
      <c r="E62" s="226">
        <v>0</v>
      </c>
      <c r="F62" s="217">
        <v>0</v>
      </c>
      <c r="G62" s="217">
        <v>0</v>
      </c>
      <c r="H62" s="217">
        <v>0</v>
      </c>
      <c r="I62" s="217">
        <v>0</v>
      </c>
      <c r="J62" s="214">
        <v>1</v>
      </c>
      <c r="K62" s="115">
        <f>IF(ISBLANK([4]Utility!D44),"",IF(ISBLANK([4]Utility!D45),"",IF([4]Utility!D6="Investor Owned Utility",SUM([4]Utility!E44+[4]Utility!E45),IF([4]Utility!D6="Municipally Owned Utility",0,""))))</f>
        <v>0</v>
      </c>
      <c r="M62" s="206"/>
      <c r="N62" s="206"/>
      <c r="Q62" s="235">
        <f>IF([3]Utility!R5="Municipally Owned Utility",0,2)</f>
        <v>2</v>
      </c>
    </row>
    <row r="63" spans="2:17" s="9" customFormat="1" outlineLevel="1">
      <c r="B63" s="11" t="s">
        <v>531</v>
      </c>
      <c r="C63" s="226">
        <v>1</v>
      </c>
      <c r="D63" s="217">
        <v>2</v>
      </c>
      <c r="E63" s="226">
        <v>1</v>
      </c>
      <c r="F63" s="217">
        <v>1</v>
      </c>
      <c r="G63" s="217">
        <v>0</v>
      </c>
      <c r="H63" s="217">
        <v>1</v>
      </c>
      <c r="I63" s="217">
        <v>2</v>
      </c>
      <c r="J63" s="214">
        <v>2</v>
      </c>
      <c r="M63" s="206"/>
      <c r="N63" s="206"/>
      <c r="Q63" s="235">
        <v>2</v>
      </c>
    </row>
    <row r="64" spans="2:17" s="9" customFormat="1" outlineLevel="1">
      <c r="B64" s="11" t="s">
        <v>522</v>
      </c>
      <c r="C64" s="226">
        <v>0.5</v>
      </c>
      <c r="D64" s="217">
        <v>0.5</v>
      </c>
      <c r="E64" s="226">
        <v>0</v>
      </c>
      <c r="F64" s="217">
        <v>0.5</v>
      </c>
      <c r="G64" s="217">
        <v>0.5</v>
      </c>
      <c r="H64" s="217">
        <v>0</v>
      </c>
      <c r="I64" s="217">
        <v>0</v>
      </c>
      <c r="J64" s="214">
        <v>0</v>
      </c>
      <c r="M64" s="206"/>
      <c r="N64" s="206"/>
      <c r="Q64" s="235">
        <v>0.5</v>
      </c>
    </row>
    <row r="65" spans="2:17" s="9" customFormat="1" outlineLevel="1">
      <c r="B65" s="11" t="s">
        <v>538</v>
      </c>
      <c r="C65" s="226">
        <v>0</v>
      </c>
      <c r="D65" s="217">
        <v>2</v>
      </c>
      <c r="E65" s="226">
        <v>0</v>
      </c>
      <c r="F65" s="217">
        <v>1</v>
      </c>
      <c r="G65" s="217">
        <v>0.5</v>
      </c>
      <c r="H65" s="217">
        <v>1.5</v>
      </c>
      <c r="I65" s="217">
        <v>1.5</v>
      </c>
      <c r="J65" s="214">
        <v>0.5</v>
      </c>
      <c r="M65" s="206"/>
      <c r="N65" s="206"/>
      <c r="Q65" s="235">
        <v>2</v>
      </c>
    </row>
    <row r="66" spans="2:17" s="9" customFormat="1">
      <c r="B66" s="65" t="s">
        <v>121</v>
      </c>
      <c r="C66" s="219">
        <v>17.25</v>
      </c>
      <c r="D66" s="212">
        <v>14</v>
      </c>
      <c r="E66" s="223">
        <v>7</v>
      </c>
      <c r="F66" s="212">
        <v>7.75</v>
      </c>
      <c r="G66" s="212">
        <v>12.25</v>
      </c>
      <c r="H66" s="212">
        <v>5.75</v>
      </c>
      <c r="I66" s="212">
        <v>7</v>
      </c>
      <c r="J66" s="212">
        <v>10.25</v>
      </c>
      <c r="L66" s="9">
        <f>MAX(C66:J66)</f>
        <v>17.25</v>
      </c>
      <c r="M66" s="206">
        <f>L66/Q66</f>
        <v>0.6160714285714286</v>
      </c>
      <c r="N66" s="206" t="str">
        <f>TEXT(M66,"0%")</f>
        <v>62%</v>
      </c>
      <c r="O66" s="9" t="str">
        <f>HLOOKUP(L66,C66:J152,23,FALSE)</f>
        <v>Arlington County, VA</v>
      </c>
      <c r="Q66" s="233">
        <f>Q67+Q72+Q75+Q81</f>
        <v>28</v>
      </c>
    </row>
    <row r="67" spans="2:17" s="9" customFormat="1">
      <c r="B67" s="38" t="s">
        <v>681</v>
      </c>
      <c r="C67" s="227">
        <v>7</v>
      </c>
      <c r="D67" s="218">
        <v>6.5</v>
      </c>
      <c r="E67" s="227">
        <v>3.5</v>
      </c>
      <c r="F67" s="218">
        <v>4.5</v>
      </c>
      <c r="G67" s="218">
        <v>8</v>
      </c>
      <c r="H67" s="218">
        <v>4.5</v>
      </c>
      <c r="I67" s="218">
        <v>3.5</v>
      </c>
      <c r="J67" s="218">
        <v>2.5</v>
      </c>
      <c r="L67" s="9">
        <f>MAX(C67:J67)</f>
        <v>8</v>
      </c>
      <c r="M67" s="206">
        <f>L67/Q67</f>
        <v>0.88888888888888884</v>
      </c>
      <c r="N67" s="206" t="str">
        <f>TEXT(M67,"0%")</f>
        <v>89%</v>
      </c>
      <c r="O67" s="9" t="str">
        <f>HLOOKUP(L67,C67:J153,22,FALSE)</f>
        <v>Knoxville, TN</v>
      </c>
      <c r="Q67" s="222">
        <f>SUM(Q68:Q71)</f>
        <v>9</v>
      </c>
    </row>
    <row r="68" spans="2:17" s="9" customFormat="1" outlineLevel="1">
      <c r="B68" s="11" t="s">
        <v>680</v>
      </c>
      <c r="C68" s="226">
        <v>1</v>
      </c>
      <c r="D68" s="217">
        <v>1.5</v>
      </c>
      <c r="E68" s="226">
        <v>0.5</v>
      </c>
      <c r="F68" s="217">
        <v>1</v>
      </c>
      <c r="G68" s="217">
        <v>1</v>
      </c>
      <c r="H68" s="217">
        <v>1</v>
      </c>
      <c r="I68" s="217">
        <v>0.5</v>
      </c>
      <c r="J68" s="217">
        <v>0</v>
      </c>
      <c r="M68" s="206"/>
      <c r="N68" s="206"/>
      <c r="Q68" s="235">
        <v>2</v>
      </c>
    </row>
    <row r="69" spans="2:17" s="9" customFormat="1" outlineLevel="1">
      <c r="B69" s="11" t="s">
        <v>689</v>
      </c>
      <c r="C69" s="226">
        <v>2</v>
      </c>
      <c r="D69" s="217">
        <v>2</v>
      </c>
      <c r="E69" s="226">
        <v>2</v>
      </c>
      <c r="F69" s="217">
        <v>2</v>
      </c>
      <c r="G69" s="217">
        <v>2</v>
      </c>
      <c r="H69" s="217">
        <v>0.5</v>
      </c>
      <c r="I69" s="217">
        <v>2</v>
      </c>
      <c r="J69" s="217">
        <v>1</v>
      </c>
      <c r="M69" s="206"/>
      <c r="N69" s="206"/>
      <c r="Q69" s="235">
        <v>2</v>
      </c>
    </row>
    <row r="70" spans="2:17" s="9" customFormat="1" outlineLevel="1">
      <c r="B70" s="11" t="s">
        <v>698</v>
      </c>
      <c r="C70" s="226">
        <v>3</v>
      </c>
      <c r="D70" s="217">
        <v>2</v>
      </c>
      <c r="E70" s="226">
        <v>1</v>
      </c>
      <c r="F70" s="217">
        <v>0.5</v>
      </c>
      <c r="G70" s="217">
        <v>4</v>
      </c>
      <c r="H70" s="217">
        <v>2</v>
      </c>
      <c r="I70" s="217">
        <v>1</v>
      </c>
      <c r="J70" s="217">
        <v>0.5</v>
      </c>
      <c r="M70" s="206"/>
      <c r="N70" s="206"/>
      <c r="Q70" s="235">
        <v>4</v>
      </c>
    </row>
    <row r="71" spans="2:17" s="9" customFormat="1" outlineLevel="1">
      <c r="B71" s="11" t="s">
        <v>706</v>
      </c>
      <c r="C71" s="226">
        <v>1</v>
      </c>
      <c r="D71" s="217">
        <v>1</v>
      </c>
      <c r="E71" s="226">
        <v>0</v>
      </c>
      <c r="F71" s="217">
        <v>1</v>
      </c>
      <c r="G71" s="217">
        <v>1</v>
      </c>
      <c r="H71" s="217">
        <v>1</v>
      </c>
      <c r="I71" s="217">
        <v>0</v>
      </c>
      <c r="J71" s="217">
        <v>1</v>
      </c>
      <c r="M71" s="206"/>
      <c r="N71" s="206"/>
      <c r="Q71" s="235">
        <v>1</v>
      </c>
    </row>
    <row r="72" spans="2:17" s="9" customFormat="1">
      <c r="B72" s="38" t="s">
        <v>370</v>
      </c>
      <c r="C72" s="227">
        <v>0</v>
      </c>
      <c r="D72" s="218">
        <v>0</v>
      </c>
      <c r="E72" s="227">
        <v>0</v>
      </c>
      <c r="F72" s="218">
        <v>0</v>
      </c>
      <c r="G72" s="218">
        <v>0</v>
      </c>
      <c r="H72" s="218">
        <v>0</v>
      </c>
      <c r="I72" s="218">
        <v>0</v>
      </c>
      <c r="J72" s="218">
        <v>0</v>
      </c>
      <c r="L72" s="9">
        <f>MAX(C72:J72)</f>
        <v>0</v>
      </c>
      <c r="M72" s="206">
        <f>L72/Q72</f>
        <v>0</v>
      </c>
      <c r="N72" s="206" t="str">
        <f>TEXT(M72,"0%")</f>
        <v>0%</v>
      </c>
      <c r="O72" s="9" t="str">
        <f>HLOOKUP(L72,C72:J158,17,FALSE)</f>
        <v>Arlington County, VA</v>
      </c>
      <c r="Q72" s="222">
        <f>SUM(Q73:Q74)</f>
        <v>2.5</v>
      </c>
    </row>
    <row r="73" spans="2:17" s="9" customFormat="1" outlineLevel="1">
      <c r="B73" s="11" t="s">
        <v>711</v>
      </c>
      <c r="C73" s="226">
        <v>0</v>
      </c>
      <c r="D73" s="217">
        <v>0</v>
      </c>
      <c r="E73" s="226">
        <v>0</v>
      </c>
      <c r="F73" s="217">
        <v>0</v>
      </c>
      <c r="G73" s="217">
        <v>0</v>
      </c>
      <c r="H73" s="217">
        <v>0</v>
      </c>
      <c r="I73" s="217">
        <v>0</v>
      </c>
      <c r="J73" s="217">
        <v>0</v>
      </c>
      <c r="M73" s="206"/>
      <c r="N73" s="206"/>
      <c r="Q73" s="235">
        <v>0.5</v>
      </c>
    </row>
    <row r="74" spans="2:17" s="9" customFormat="1" outlineLevel="1">
      <c r="B74" s="11" t="s">
        <v>716</v>
      </c>
      <c r="C74" s="226">
        <v>0</v>
      </c>
      <c r="D74" s="217">
        <v>0</v>
      </c>
      <c r="E74" s="226">
        <v>0</v>
      </c>
      <c r="F74" s="217">
        <v>0</v>
      </c>
      <c r="G74" s="217">
        <v>0</v>
      </c>
      <c r="H74" s="217">
        <v>0</v>
      </c>
      <c r="I74" s="217">
        <v>0</v>
      </c>
      <c r="J74" s="217">
        <v>0</v>
      </c>
      <c r="M74" s="206"/>
      <c r="N74" s="206"/>
      <c r="Q74" s="235">
        <v>2</v>
      </c>
    </row>
    <row r="75" spans="2:17" s="9" customFormat="1">
      <c r="B75" s="38" t="s">
        <v>371</v>
      </c>
      <c r="C75" s="232">
        <v>7.75</v>
      </c>
      <c r="D75" s="218">
        <v>5</v>
      </c>
      <c r="E75" s="227">
        <v>2.5</v>
      </c>
      <c r="F75" s="218">
        <v>3.25</v>
      </c>
      <c r="G75" s="218">
        <v>2.25</v>
      </c>
      <c r="H75" s="218">
        <v>1.25</v>
      </c>
      <c r="I75" s="218">
        <v>1.5</v>
      </c>
      <c r="J75" s="218">
        <v>4.75</v>
      </c>
      <c r="L75" s="9">
        <f>MAX(C75:J75)</f>
        <v>7.75</v>
      </c>
      <c r="M75" s="206">
        <f>L75/Q75</f>
        <v>0.67391304347826086</v>
      </c>
      <c r="N75" s="206" t="str">
        <f>TEXT(M75,"0%")</f>
        <v>67%</v>
      </c>
      <c r="O75" s="9" t="str">
        <f>HLOOKUP(L75,C75:J161,14,FALSE)</f>
        <v>Arlington County, VA</v>
      </c>
      <c r="Q75" s="222">
        <f>SUM(Q76:Q80)</f>
        <v>11.5</v>
      </c>
    </row>
    <row r="76" spans="2:17" s="9" customFormat="1" outlineLevel="1">
      <c r="B76" s="11" t="s">
        <v>2</v>
      </c>
      <c r="C76" s="226">
        <v>2</v>
      </c>
      <c r="D76" s="217">
        <v>0</v>
      </c>
      <c r="E76" s="226">
        <v>0</v>
      </c>
      <c r="F76" s="217">
        <v>2</v>
      </c>
      <c r="G76" s="217">
        <v>1</v>
      </c>
      <c r="H76" s="217">
        <v>0</v>
      </c>
      <c r="I76" s="217">
        <v>0</v>
      </c>
      <c r="J76" s="230">
        <v>0</v>
      </c>
      <c r="M76" s="206"/>
      <c r="N76" s="206"/>
      <c r="Q76" s="235">
        <v>2</v>
      </c>
    </row>
    <row r="77" spans="2:17" s="9" customFormat="1" outlineLevel="1">
      <c r="B77" s="11" t="s">
        <v>7</v>
      </c>
      <c r="C77" s="226">
        <v>4</v>
      </c>
      <c r="D77" s="217">
        <v>4</v>
      </c>
      <c r="E77" s="226">
        <v>1</v>
      </c>
      <c r="F77" s="217">
        <v>0</v>
      </c>
      <c r="G77" s="217">
        <v>0</v>
      </c>
      <c r="H77" s="217">
        <v>0</v>
      </c>
      <c r="I77" s="217">
        <v>0</v>
      </c>
      <c r="J77" s="230">
        <v>4</v>
      </c>
      <c r="M77" s="206"/>
      <c r="N77" s="206"/>
      <c r="Q77" s="235">
        <v>4</v>
      </c>
    </row>
    <row r="78" spans="2:17" s="9" customFormat="1" outlineLevel="1">
      <c r="B78" s="11" t="s">
        <v>13</v>
      </c>
      <c r="C78" s="228">
        <v>1.5</v>
      </c>
      <c r="D78" s="217">
        <v>1</v>
      </c>
      <c r="E78" s="228">
        <v>1</v>
      </c>
      <c r="F78" s="217">
        <v>0.25</v>
      </c>
      <c r="G78" s="217">
        <v>0.25</v>
      </c>
      <c r="H78" s="217">
        <v>0.25</v>
      </c>
      <c r="I78" s="217">
        <v>1</v>
      </c>
      <c r="J78" s="230">
        <v>0.25</v>
      </c>
      <c r="M78" s="206"/>
      <c r="N78" s="206"/>
      <c r="Q78" s="240">
        <v>2</v>
      </c>
    </row>
    <row r="79" spans="2:17" outlineLevel="1">
      <c r="B79" s="11" t="s">
        <v>40</v>
      </c>
      <c r="C79" s="217">
        <v>0.25</v>
      </c>
      <c r="D79" s="217">
        <v>0</v>
      </c>
      <c r="E79" s="217">
        <v>0.5</v>
      </c>
      <c r="F79" s="217">
        <v>0.5</v>
      </c>
      <c r="G79" s="217">
        <v>0.5</v>
      </c>
      <c r="H79" s="217">
        <v>0.5</v>
      </c>
      <c r="I79" s="217">
        <v>0.5</v>
      </c>
      <c r="J79" s="230">
        <v>0.5</v>
      </c>
      <c r="M79" s="207"/>
      <c r="N79" s="207"/>
      <c r="Q79" s="235">
        <v>0.5</v>
      </c>
    </row>
    <row r="80" spans="2:17" s="9" customFormat="1" outlineLevel="1">
      <c r="B80" s="11" t="s">
        <v>23</v>
      </c>
      <c r="C80" s="226">
        <v>0</v>
      </c>
      <c r="D80" s="217">
        <v>0</v>
      </c>
      <c r="E80" s="226">
        <v>0</v>
      </c>
      <c r="F80" s="217">
        <v>0.5</v>
      </c>
      <c r="G80" s="217">
        <v>0.5</v>
      </c>
      <c r="H80" s="217">
        <v>0.5</v>
      </c>
      <c r="I80" s="217">
        <v>0</v>
      </c>
      <c r="J80" s="230">
        <v>0</v>
      </c>
      <c r="M80" s="206"/>
      <c r="N80" s="206"/>
      <c r="Q80" s="235">
        <v>3</v>
      </c>
    </row>
    <row r="81" spans="2:17" s="9" customFormat="1">
      <c r="B81" s="38" t="s">
        <v>360</v>
      </c>
      <c r="C81" s="227">
        <v>2.5</v>
      </c>
      <c r="D81" s="218">
        <v>2.5</v>
      </c>
      <c r="E81" s="227">
        <v>1</v>
      </c>
      <c r="F81" s="218">
        <v>0</v>
      </c>
      <c r="G81" s="218">
        <v>2</v>
      </c>
      <c r="H81" s="218">
        <v>0</v>
      </c>
      <c r="I81" s="218">
        <v>2</v>
      </c>
      <c r="J81" s="218">
        <v>3</v>
      </c>
      <c r="L81" s="9">
        <f>MAX(C81:J81)</f>
        <v>3</v>
      </c>
      <c r="M81" s="206">
        <f>L81/Q81</f>
        <v>0.6</v>
      </c>
      <c r="N81" s="206" t="str">
        <f>TEXT(M81,"0%")</f>
        <v>60%</v>
      </c>
      <c r="O81" s="9" t="str">
        <f>HLOOKUP(L81,C81:J167,8,FALSE)</f>
        <v>Park City, UT</v>
      </c>
      <c r="Q81" s="222">
        <f>SUM(Q82:Q85)</f>
        <v>5</v>
      </c>
    </row>
    <row r="82" spans="2:17" s="9" customFormat="1" outlineLevel="1">
      <c r="B82" s="11" t="s">
        <v>24</v>
      </c>
      <c r="C82" s="226">
        <v>0.5</v>
      </c>
      <c r="D82" s="217">
        <v>0</v>
      </c>
      <c r="E82" s="226">
        <v>0</v>
      </c>
      <c r="F82" s="217">
        <v>0</v>
      </c>
      <c r="G82" s="217">
        <v>1</v>
      </c>
      <c r="H82" s="217">
        <v>0</v>
      </c>
      <c r="I82" s="217">
        <v>0</v>
      </c>
      <c r="J82" s="217">
        <v>0</v>
      </c>
      <c r="M82" s="206"/>
      <c r="N82" s="206"/>
      <c r="Q82" s="235">
        <v>1.5</v>
      </c>
    </row>
    <row r="83" spans="2:17" s="9" customFormat="1" outlineLevel="1">
      <c r="B83" s="11" t="s">
        <v>27</v>
      </c>
      <c r="C83" s="226">
        <v>2</v>
      </c>
      <c r="D83" s="217">
        <v>2</v>
      </c>
      <c r="E83" s="226">
        <v>1</v>
      </c>
      <c r="F83" s="217">
        <v>0</v>
      </c>
      <c r="G83" s="217">
        <v>0</v>
      </c>
      <c r="H83" s="217">
        <v>0</v>
      </c>
      <c r="I83" s="217">
        <v>2</v>
      </c>
      <c r="J83" s="217">
        <v>2</v>
      </c>
      <c r="M83" s="206"/>
      <c r="N83" s="206"/>
      <c r="Q83" s="235">
        <v>2</v>
      </c>
    </row>
    <row r="84" spans="2:17" s="9" customFormat="1" outlineLevel="1">
      <c r="B84" s="11" t="s">
        <v>29</v>
      </c>
      <c r="C84" s="226">
        <v>0</v>
      </c>
      <c r="D84" s="217">
        <v>0</v>
      </c>
      <c r="E84" s="226">
        <v>0</v>
      </c>
      <c r="F84" s="217">
        <v>0</v>
      </c>
      <c r="G84" s="217">
        <v>1</v>
      </c>
      <c r="H84" s="217">
        <v>0</v>
      </c>
      <c r="I84" s="217">
        <v>0</v>
      </c>
      <c r="J84" s="217">
        <v>1</v>
      </c>
      <c r="M84" s="206"/>
      <c r="N84" s="206"/>
      <c r="Q84" s="235">
        <v>1</v>
      </c>
    </row>
    <row r="85" spans="2:17" s="9" customFormat="1" outlineLevel="1">
      <c r="B85" s="11" t="s">
        <v>34</v>
      </c>
      <c r="C85" s="226">
        <v>0</v>
      </c>
      <c r="D85" s="217">
        <v>0.5</v>
      </c>
      <c r="E85" s="226">
        <v>0</v>
      </c>
      <c r="F85" s="217">
        <v>0</v>
      </c>
      <c r="G85" s="217">
        <v>0</v>
      </c>
      <c r="H85" s="217">
        <v>0</v>
      </c>
      <c r="I85" s="217">
        <v>0</v>
      </c>
      <c r="J85" s="217">
        <v>0</v>
      </c>
      <c r="M85" s="206"/>
      <c r="N85" s="206"/>
      <c r="Q85" s="235">
        <v>0.5</v>
      </c>
    </row>
    <row r="86" spans="2:17" ht="15.75" thickBot="1">
      <c r="M86" s="207"/>
      <c r="N86" s="207"/>
    </row>
    <row r="87" spans="2:17" ht="15.75" thickBot="1">
      <c r="B87" s="92" t="s">
        <v>240</v>
      </c>
      <c r="C87" s="93">
        <f t="shared" ref="C87:J87" si="0">C66+C53+C33+C22+C3</f>
        <v>48</v>
      </c>
      <c r="D87" s="93">
        <f t="shared" si="0"/>
        <v>55.25</v>
      </c>
      <c r="E87" s="93">
        <f t="shared" si="0"/>
        <v>26.5</v>
      </c>
      <c r="F87" s="93">
        <f t="shared" si="0"/>
        <v>32.5</v>
      </c>
      <c r="G87" s="93">
        <f t="shared" si="0"/>
        <v>37.75</v>
      </c>
      <c r="H87" s="93">
        <f t="shared" si="0"/>
        <v>29.25</v>
      </c>
      <c r="I87" s="93">
        <f t="shared" si="0"/>
        <v>33.5</v>
      </c>
      <c r="J87" s="93">
        <f t="shared" si="0"/>
        <v>41.75</v>
      </c>
      <c r="L87" s="9">
        <f>MAX(C87:J87)</f>
        <v>55.25</v>
      </c>
      <c r="M87" s="206">
        <f>L87/Q87</f>
        <v>0.55249999999999999</v>
      </c>
      <c r="N87" s="206" t="str">
        <f>TEXT(M87,"0%")</f>
        <v>55%</v>
      </c>
      <c r="O87" s="9" t="str">
        <f>HLOOKUP(L87,C87:J173,2,FALSE)</f>
        <v>Boulder, CO</v>
      </c>
      <c r="Q87" s="93">
        <f>Q66+Q53+Q33+Q22+Q3</f>
        <v>100</v>
      </c>
    </row>
    <row r="88" spans="2:17" s="9" customFormat="1" ht="30">
      <c r="B88" s="12"/>
      <c r="C88" s="87" t="s">
        <v>376</v>
      </c>
      <c r="D88" s="24" t="s">
        <v>377</v>
      </c>
      <c r="E88" s="24" t="s">
        <v>378</v>
      </c>
      <c r="F88" s="24" t="s">
        <v>379</v>
      </c>
      <c r="G88" s="24" t="s">
        <v>380</v>
      </c>
      <c r="H88" s="24" t="s">
        <v>381</v>
      </c>
      <c r="I88" s="24" t="s">
        <v>382</v>
      </c>
      <c r="J88" s="24" t="s">
        <v>383</v>
      </c>
      <c r="Q88" s="12" t="s">
        <v>355</v>
      </c>
    </row>
  </sheetData>
  <mergeCells count="2">
    <mergeCell ref="B2:J2"/>
    <mergeCell ref="L2:O2"/>
  </mergeCells>
  <phoneticPr fontId="43"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3"/>
  <dimension ref="A1:CZ123"/>
  <sheetViews>
    <sheetView workbookViewId="0">
      <selection activeCell="AV2" sqref="AV1:AV65536"/>
    </sheetView>
  </sheetViews>
  <sheetFormatPr defaultRowHeight="15"/>
  <cols>
    <col min="1" max="1" width="69.7109375" customWidth="1"/>
    <col min="3" max="3" width="13.42578125" customWidth="1"/>
    <col min="4" max="4" width="0" hidden="1" customWidth="1"/>
    <col min="5" max="5" width="24.85546875" hidden="1" customWidth="1"/>
    <col min="6" max="6" width="15.28515625" customWidth="1"/>
    <col min="7" max="8" width="0" hidden="1" customWidth="1"/>
    <col min="9" max="9" width="18.140625" customWidth="1"/>
    <col min="10" max="11" width="0" hidden="1" customWidth="1"/>
    <col min="12" max="12" width="19.7109375" customWidth="1"/>
    <col min="13" max="14" width="0" hidden="1" customWidth="1"/>
    <col min="15" max="15" width="16" customWidth="1"/>
    <col min="16" max="17" width="5.140625" hidden="1" customWidth="1"/>
    <col min="18" max="18" width="12.42578125" customWidth="1"/>
    <col min="19" max="20" width="0" hidden="1" customWidth="1"/>
    <col min="21" max="21" width="16.42578125" customWidth="1"/>
    <col min="22" max="23" width="0" hidden="1" customWidth="1"/>
    <col min="24" max="24" width="17.5703125" customWidth="1"/>
    <col min="25" max="26" width="0" hidden="1" customWidth="1"/>
    <col min="27" max="27" width="15.5703125" customWidth="1"/>
    <col min="28" max="29" width="0" hidden="1" customWidth="1"/>
    <col min="30" max="30" width="17" customWidth="1"/>
    <col min="31" max="32" width="0" hidden="1" customWidth="1"/>
    <col min="33" max="33" width="15.28515625" customWidth="1"/>
    <col min="34" max="35" width="0" hidden="1" customWidth="1"/>
    <col min="36" max="36" width="14.5703125" customWidth="1"/>
    <col min="37" max="38" width="0" hidden="1" customWidth="1"/>
    <col min="39" max="39" width="13.42578125" customWidth="1"/>
    <col min="40" max="41" width="0" hidden="1" customWidth="1"/>
    <col min="42" max="42" width="12" customWidth="1"/>
    <col min="43" max="43" width="11.140625" hidden="1" customWidth="1"/>
    <col min="44" max="44" width="0" hidden="1" customWidth="1"/>
    <col min="45" max="45" width="15.42578125" customWidth="1"/>
    <col min="46" max="47" width="0" hidden="1" customWidth="1"/>
    <col min="48" max="48" width="12.7109375" customWidth="1"/>
    <col min="49" max="50" width="0" hidden="1" customWidth="1"/>
    <col min="51" max="51" width="18" customWidth="1"/>
    <col min="52" max="53" width="0" hidden="1" customWidth="1"/>
    <col min="54" max="54" width="17.42578125" customWidth="1"/>
    <col min="55" max="56" width="0" hidden="1" customWidth="1"/>
    <col min="57" max="57" width="16.42578125" customWidth="1"/>
    <col min="58" max="59" width="0" hidden="1" customWidth="1"/>
    <col min="60" max="60" width="17.28515625" customWidth="1"/>
    <col min="61" max="62" width="0" hidden="1" customWidth="1"/>
    <col min="63" max="63" width="16.5703125" customWidth="1"/>
    <col min="64" max="65" width="0" hidden="1" customWidth="1"/>
    <col min="66" max="66" width="18.140625" customWidth="1"/>
    <col min="67" max="68" width="0" hidden="1" customWidth="1"/>
    <col min="69" max="69" width="17.28515625" customWidth="1"/>
    <col min="70" max="71" width="0" hidden="1" customWidth="1"/>
    <col min="72" max="72" width="16.7109375" customWidth="1"/>
    <col min="73" max="74" width="0" hidden="1" customWidth="1"/>
    <col min="75" max="75" width="20.28515625" customWidth="1"/>
    <col min="76" max="77" width="0" hidden="1" customWidth="1"/>
    <col min="78" max="78" width="16.85546875" customWidth="1"/>
    <col min="79" max="80" width="0" hidden="1" customWidth="1"/>
    <col min="81" max="81" width="15.140625" customWidth="1"/>
    <col min="82" max="83" width="0" hidden="1" customWidth="1"/>
    <col min="84" max="84" width="16.42578125" customWidth="1"/>
    <col min="85" max="86" width="0" hidden="1" customWidth="1"/>
    <col min="87" max="87" width="17.140625" customWidth="1"/>
    <col min="88" max="89" width="0" hidden="1" customWidth="1"/>
    <col min="90" max="90" width="14.28515625" customWidth="1"/>
    <col min="91" max="92" width="0" hidden="1" customWidth="1"/>
    <col min="93" max="93" width="16.42578125" customWidth="1"/>
    <col min="94" max="95" width="0" hidden="1" customWidth="1"/>
    <col min="96" max="96" width="14" customWidth="1"/>
    <col min="97" max="98" width="5.7109375" hidden="1" customWidth="1"/>
    <col min="99" max="99" width="14" customWidth="1"/>
    <col min="100" max="101" width="0" hidden="1" customWidth="1"/>
    <col min="102" max="102" width="15.28515625" customWidth="1"/>
    <col min="103" max="104" width="0" hidden="1" customWidth="1"/>
  </cols>
  <sheetData>
    <row r="1" spans="1:104">
      <c r="C1" s="331" t="s">
        <v>767</v>
      </c>
      <c r="D1" s="331"/>
      <c r="E1" s="331"/>
      <c r="F1" s="331" t="s">
        <v>768</v>
      </c>
      <c r="G1" s="331"/>
      <c r="H1" s="331"/>
      <c r="I1" s="331" t="s">
        <v>769</v>
      </c>
      <c r="J1" s="331"/>
      <c r="K1" s="331"/>
      <c r="L1" s="331" t="s">
        <v>770</v>
      </c>
      <c r="M1" s="331"/>
      <c r="N1" s="331"/>
      <c r="O1" s="331" t="s">
        <v>771</v>
      </c>
      <c r="P1" s="331"/>
      <c r="Q1" s="331"/>
      <c r="R1" s="331" t="s">
        <v>772</v>
      </c>
      <c r="S1" s="331"/>
      <c r="T1" s="331"/>
      <c r="U1" s="331" t="s">
        <v>773</v>
      </c>
      <c r="V1" s="331"/>
      <c r="W1" s="331"/>
      <c r="X1" s="331" t="s">
        <v>774</v>
      </c>
      <c r="Y1" s="331"/>
      <c r="Z1" s="331"/>
      <c r="AA1" s="331" t="s">
        <v>775</v>
      </c>
      <c r="AB1" s="331"/>
      <c r="AC1" s="331"/>
      <c r="AD1" s="331" t="s">
        <v>776</v>
      </c>
      <c r="AE1" s="331"/>
      <c r="AF1" s="331"/>
      <c r="AG1" s="331" t="s">
        <v>777</v>
      </c>
      <c r="AH1" s="331"/>
      <c r="AI1" s="331"/>
      <c r="AJ1" s="331" t="s">
        <v>778</v>
      </c>
      <c r="AK1" s="331"/>
      <c r="AL1" s="331"/>
      <c r="AM1" s="331" t="s">
        <v>779</v>
      </c>
      <c r="AN1" s="331"/>
      <c r="AO1" s="331"/>
      <c r="AP1" s="331" t="s">
        <v>780</v>
      </c>
      <c r="AQ1" s="331"/>
      <c r="AR1" s="331"/>
      <c r="AS1" s="331" t="s">
        <v>781</v>
      </c>
      <c r="AT1" s="331"/>
      <c r="AU1" s="331"/>
      <c r="AV1" s="331" t="s">
        <v>782</v>
      </c>
      <c r="AW1" s="331"/>
      <c r="AX1" s="331"/>
      <c r="AY1" s="331" t="s">
        <v>1701</v>
      </c>
      <c r="AZ1" s="331"/>
      <c r="BA1" s="331"/>
      <c r="BB1" s="331" t="s">
        <v>783</v>
      </c>
      <c r="BC1" s="331"/>
      <c r="BD1" s="331"/>
      <c r="BE1" s="331" t="s">
        <v>784</v>
      </c>
      <c r="BF1" s="331"/>
      <c r="BG1" s="331"/>
      <c r="BH1" s="331" t="s">
        <v>785</v>
      </c>
      <c r="BI1" s="331"/>
      <c r="BJ1" s="331"/>
      <c r="BK1" s="331" t="s">
        <v>786</v>
      </c>
      <c r="BL1" s="331"/>
      <c r="BM1" s="331"/>
      <c r="BN1" s="331" t="s">
        <v>787</v>
      </c>
      <c r="BO1" s="331"/>
      <c r="BP1" s="331"/>
      <c r="BQ1" s="331" t="s">
        <v>788</v>
      </c>
      <c r="BR1" s="331"/>
      <c r="BS1" s="331"/>
      <c r="BT1" s="331" t="s">
        <v>789</v>
      </c>
      <c r="BU1" s="331"/>
      <c r="BV1" s="331"/>
      <c r="BW1" s="331" t="s">
        <v>790</v>
      </c>
      <c r="BX1" s="331"/>
      <c r="BY1" s="331"/>
      <c r="BZ1" s="331" t="s">
        <v>791</v>
      </c>
      <c r="CA1" s="331"/>
      <c r="CB1" s="331"/>
      <c r="CC1" s="331" t="s">
        <v>792</v>
      </c>
      <c r="CD1" s="331"/>
      <c r="CE1" s="331"/>
      <c r="CF1" s="331" t="s">
        <v>793</v>
      </c>
      <c r="CG1" s="331"/>
      <c r="CH1" s="331"/>
      <c r="CI1" s="331" t="s">
        <v>794</v>
      </c>
      <c r="CJ1" s="331"/>
      <c r="CK1" s="331"/>
      <c r="CL1" s="331" t="s">
        <v>795</v>
      </c>
      <c r="CM1" s="331"/>
      <c r="CN1" s="331"/>
      <c r="CO1" s="331" t="s">
        <v>796</v>
      </c>
      <c r="CP1" s="331"/>
      <c r="CQ1" s="331"/>
      <c r="CR1" s="331" t="s">
        <v>797</v>
      </c>
      <c r="CS1" s="331"/>
      <c r="CT1" s="331"/>
      <c r="CU1" s="331" t="s">
        <v>798</v>
      </c>
      <c r="CV1" s="331"/>
      <c r="CW1" s="331"/>
      <c r="CX1" s="331" t="s">
        <v>799</v>
      </c>
      <c r="CY1" s="331"/>
      <c r="CZ1" s="331"/>
    </row>
    <row r="2" spans="1:104" ht="75">
      <c r="A2" s="126" t="s">
        <v>800</v>
      </c>
      <c r="B2" s="127" t="s">
        <v>801</v>
      </c>
      <c r="C2" s="128" t="s">
        <v>802</v>
      </c>
      <c r="D2" s="128" t="s">
        <v>803</v>
      </c>
      <c r="E2" s="128" t="s">
        <v>804</v>
      </c>
      <c r="F2" s="128" t="s">
        <v>802</v>
      </c>
      <c r="G2" s="128" t="s">
        <v>803</v>
      </c>
      <c r="H2" s="128" t="s">
        <v>804</v>
      </c>
      <c r="I2" s="128" t="s">
        <v>802</v>
      </c>
      <c r="J2" s="128" t="s">
        <v>803</v>
      </c>
      <c r="K2" s="128" t="s">
        <v>804</v>
      </c>
      <c r="L2" s="128" t="s">
        <v>802</v>
      </c>
      <c r="M2" s="128" t="s">
        <v>803</v>
      </c>
      <c r="N2" s="128" t="s">
        <v>804</v>
      </c>
      <c r="O2" s="128" t="s">
        <v>802</v>
      </c>
      <c r="P2" s="128" t="s">
        <v>803</v>
      </c>
      <c r="Q2" s="128" t="s">
        <v>804</v>
      </c>
      <c r="R2" s="128" t="s">
        <v>802</v>
      </c>
      <c r="S2" s="128" t="s">
        <v>803</v>
      </c>
      <c r="T2" s="128" t="s">
        <v>804</v>
      </c>
      <c r="U2" s="128" t="s">
        <v>802</v>
      </c>
      <c r="V2" s="128" t="s">
        <v>803</v>
      </c>
      <c r="W2" s="128" t="s">
        <v>804</v>
      </c>
      <c r="X2" s="128" t="s">
        <v>802</v>
      </c>
      <c r="Y2" s="128" t="s">
        <v>803</v>
      </c>
      <c r="Z2" s="128" t="s">
        <v>804</v>
      </c>
      <c r="AA2" s="128" t="s">
        <v>802</v>
      </c>
      <c r="AB2" s="128" t="s">
        <v>803</v>
      </c>
      <c r="AC2" s="128" t="s">
        <v>804</v>
      </c>
      <c r="AD2" s="128" t="s">
        <v>802</v>
      </c>
      <c r="AE2" s="128" t="s">
        <v>803</v>
      </c>
      <c r="AF2" s="128" t="s">
        <v>804</v>
      </c>
      <c r="AG2" s="128" t="s">
        <v>802</v>
      </c>
      <c r="AH2" s="128" t="s">
        <v>803</v>
      </c>
      <c r="AI2" s="128" t="s">
        <v>804</v>
      </c>
      <c r="AJ2" s="128" t="s">
        <v>802</v>
      </c>
      <c r="AK2" s="128" t="s">
        <v>803</v>
      </c>
      <c r="AL2" s="128" t="s">
        <v>804</v>
      </c>
      <c r="AM2" s="128" t="s">
        <v>802</v>
      </c>
      <c r="AN2" s="128" t="s">
        <v>803</v>
      </c>
      <c r="AO2" s="128" t="s">
        <v>804</v>
      </c>
      <c r="AP2" s="128" t="s">
        <v>802</v>
      </c>
      <c r="AQ2" s="128" t="s">
        <v>803</v>
      </c>
      <c r="AR2" s="128" t="s">
        <v>804</v>
      </c>
      <c r="AS2" s="128" t="s">
        <v>802</v>
      </c>
      <c r="AT2" s="128" t="s">
        <v>803</v>
      </c>
      <c r="AU2" s="128" t="s">
        <v>804</v>
      </c>
      <c r="AV2" s="128" t="s">
        <v>802</v>
      </c>
      <c r="AW2" s="128" t="s">
        <v>803</v>
      </c>
      <c r="AX2" s="128" t="s">
        <v>804</v>
      </c>
      <c r="AY2" s="128" t="s">
        <v>802</v>
      </c>
      <c r="AZ2" s="128" t="s">
        <v>803</v>
      </c>
      <c r="BA2" s="128" t="s">
        <v>804</v>
      </c>
      <c r="BB2" s="128" t="s">
        <v>802</v>
      </c>
      <c r="BC2" s="128" t="s">
        <v>803</v>
      </c>
      <c r="BD2" s="128" t="s">
        <v>804</v>
      </c>
      <c r="BE2" s="128" t="s">
        <v>802</v>
      </c>
      <c r="BF2" s="128" t="s">
        <v>803</v>
      </c>
      <c r="BG2" s="128" t="s">
        <v>804</v>
      </c>
      <c r="BH2" s="128" t="s">
        <v>802</v>
      </c>
      <c r="BI2" s="128" t="s">
        <v>803</v>
      </c>
      <c r="BJ2" s="128" t="s">
        <v>804</v>
      </c>
      <c r="BK2" s="128" t="s">
        <v>802</v>
      </c>
      <c r="BL2" s="128" t="s">
        <v>803</v>
      </c>
      <c r="BM2" s="128" t="s">
        <v>804</v>
      </c>
      <c r="BN2" s="128" t="s">
        <v>802</v>
      </c>
      <c r="BO2" s="128" t="s">
        <v>803</v>
      </c>
      <c r="BP2" s="128" t="s">
        <v>804</v>
      </c>
      <c r="BQ2" s="128" t="s">
        <v>802</v>
      </c>
      <c r="BR2" s="128" t="s">
        <v>803</v>
      </c>
      <c r="BS2" s="128" t="s">
        <v>804</v>
      </c>
      <c r="BT2" s="128" t="s">
        <v>802</v>
      </c>
      <c r="BU2" s="128" t="s">
        <v>803</v>
      </c>
      <c r="BV2" s="128" t="s">
        <v>804</v>
      </c>
      <c r="BW2" s="128" t="s">
        <v>802</v>
      </c>
      <c r="BX2" s="128" t="s">
        <v>803</v>
      </c>
      <c r="BY2" s="128" t="s">
        <v>804</v>
      </c>
      <c r="BZ2" s="128" t="s">
        <v>802</v>
      </c>
      <c r="CA2" s="128" t="s">
        <v>803</v>
      </c>
      <c r="CB2" s="128" t="s">
        <v>804</v>
      </c>
      <c r="CC2" s="128" t="s">
        <v>802</v>
      </c>
      <c r="CD2" s="128" t="s">
        <v>803</v>
      </c>
      <c r="CE2" s="128" t="s">
        <v>804</v>
      </c>
      <c r="CF2" s="128" t="s">
        <v>802</v>
      </c>
      <c r="CG2" s="128" t="s">
        <v>803</v>
      </c>
      <c r="CH2" s="128" t="s">
        <v>804</v>
      </c>
      <c r="CI2" s="128" t="s">
        <v>802</v>
      </c>
      <c r="CJ2" s="128" t="s">
        <v>803</v>
      </c>
      <c r="CK2" s="128" t="s">
        <v>804</v>
      </c>
      <c r="CL2" s="128" t="s">
        <v>802</v>
      </c>
      <c r="CM2" s="128" t="s">
        <v>803</v>
      </c>
      <c r="CN2" s="128" t="s">
        <v>804</v>
      </c>
      <c r="CO2" s="128" t="s">
        <v>802</v>
      </c>
      <c r="CP2" s="128" t="s">
        <v>803</v>
      </c>
      <c r="CQ2" s="128" t="s">
        <v>804</v>
      </c>
      <c r="CR2" s="128" t="s">
        <v>802</v>
      </c>
      <c r="CS2" s="128" t="s">
        <v>803</v>
      </c>
      <c r="CT2" s="128" t="s">
        <v>804</v>
      </c>
      <c r="CU2" s="128" t="s">
        <v>802</v>
      </c>
      <c r="CV2" s="128" t="s">
        <v>803</v>
      </c>
      <c r="CW2" s="128" t="s">
        <v>804</v>
      </c>
      <c r="CX2" s="128" t="s">
        <v>802</v>
      </c>
      <c r="CY2" s="128" t="s">
        <v>803</v>
      </c>
      <c r="CZ2" s="128" t="s">
        <v>804</v>
      </c>
    </row>
    <row r="3" spans="1:104">
      <c r="A3" s="126" t="s">
        <v>469</v>
      </c>
      <c r="B3" s="129">
        <f>B4+B10+B13</f>
        <v>15</v>
      </c>
      <c r="C3" s="129">
        <f t="shared" ref="C3:BN3" si="0">C4+C10+C13</f>
        <v>11</v>
      </c>
      <c r="D3" s="129">
        <f t="shared" si="0"/>
        <v>0</v>
      </c>
      <c r="E3" s="129">
        <f t="shared" si="0"/>
        <v>0</v>
      </c>
      <c r="F3" s="129">
        <f t="shared" si="0"/>
        <v>13.75</v>
      </c>
      <c r="G3" s="129">
        <f t="shared" si="0"/>
        <v>0</v>
      </c>
      <c r="H3" s="129">
        <f t="shared" si="0"/>
        <v>0</v>
      </c>
      <c r="I3" s="129">
        <f t="shared" si="0"/>
        <v>13</v>
      </c>
      <c r="J3" s="129">
        <f t="shared" si="0"/>
        <v>0</v>
      </c>
      <c r="K3" s="129">
        <f t="shared" si="0"/>
        <v>0</v>
      </c>
      <c r="L3" s="129">
        <f t="shared" si="0"/>
        <v>10.5</v>
      </c>
      <c r="M3" s="129">
        <f t="shared" si="0"/>
        <v>0</v>
      </c>
      <c r="N3" s="129">
        <f t="shared" si="0"/>
        <v>0</v>
      </c>
      <c r="O3" s="129">
        <f t="shared" si="0"/>
        <v>10.75</v>
      </c>
      <c r="P3" s="129">
        <f t="shared" si="0"/>
        <v>0</v>
      </c>
      <c r="Q3" s="129">
        <f t="shared" si="0"/>
        <v>0</v>
      </c>
      <c r="R3" s="129">
        <f t="shared" si="0"/>
        <v>9.75</v>
      </c>
      <c r="S3" s="129">
        <f t="shared" si="0"/>
        <v>0</v>
      </c>
      <c r="T3" s="129">
        <f t="shared" si="0"/>
        <v>0</v>
      </c>
      <c r="U3" s="129">
        <f t="shared" si="0"/>
        <v>8.25</v>
      </c>
      <c r="V3" s="129">
        <f t="shared" si="0"/>
        <v>0</v>
      </c>
      <c r="W3" s="129">
        <f t="shared" si="0"/>
        <v>0</v>
      </c>
      <c r="X3" s="129">
        <f t="shared" si="0"/>
        <v>10</v>
      </c>
      <c r="Y3" s="129">
        <f t="shared" si="0"/>
        <v>0</v>
      </c>
      <c r="Z3" s="129">
        <f t="shared" si="0"/>
        <v>0</v>
      </c>
      <c r="AA3" s="129">
        <f t="shared" si="0"/>
        <v>10.75</v>
      </c>
      <c r="AB3" s="129">
        <f t="shared" si="0"/>
        <v>0</v>
      </c>
      <c r="AC3" s="129">
        <f t="shared" si="0"/>
        <v>0</v>
      </c>
      <c r="AD3" s="129">
        <f t="shared" si="0"/>
        <v>10.5</v>
      </c>
      <c r="AE3" s="129">
        <f t="shared" si="0"/>
        <v>0</v>
      </c>
      <c r="AF3" s="129">
        <f t="shared" si="0"/>
        <v>0</v>
      </c>
      <c r="AG3" s="129">
        <f t="shared" si="0"/>
        <v>11</v>
      </c>
      <c r="AH3" s="129">
        <f t="shared" si="0"/>
        <v>0</v>
      </c>
      <c r="AI3" s="129">
        <f t="shared" si="0"/>
        <v>0</v>
      </c>
      <c r="AJ3" s="129">
        <f t="shared" si="0"/>
        <v>8.75</v>
      </c>
      <c r="AK3" s="129">
        <f t="shared" si="0"/>
        <v>0</v>
      </c>
      <c r="AL3" s="129">
        <f t="shared" si="0"/>
        <v>0</v>
      </c>
      <c r="AM3" s="129">
        <f t="shared" si="0"/>
        <v>8.75</v>
      </c>
      <c r="AN3" s="129">
        <f t="shared" si="0"/>
        <v>0</v>
      </c>
      <c r="AO3" s="129">
        <f t="shared" si="0"/>
        <v>0</v>
      </c>
      <c r="AP3" s="129">
        <f t="shared" si="0"/>
        <v>9.5</v>
      </c>
      <c r="AQ3" s="129">
        <f t="shared" si="0"/>
        <v>0</v>
      </c>
      <c r="AR3" s="129">
        <f t="shared" si="0"/>
        <v>0</v>
      </c>
      <c r="AS3" s="129">
        <f t="shared" si="0"/>
        <v>12.25</v>
      </c>
      <c r="AT3" s="129">
        <f t="shared" si="0"/>
        <v>0</v>
      </c>
      <c r="AU3" s="129">
        <f t="shared" si="0"/>
        <v>0</v>
      </c>
      <c r="AV3" s="129">
        <f t="shared" si="0"/>
        <v>6.75</v>
      </c>
      <c r="AW3" s="129">
        <f t="shared" si="0"/>
        <v>0</v>
      </c>
      <c r="AX3" s="129">
        <f t="shared" si="0"/>
        <v>0</v>
      </c>
      <c r="AY3" s="129">
        <f t="shared" si="0"/>
        <v>9.5</v>
      </c>
      <c r="AZ3" s="129">
        <f t="shared" si="0"/>
        <v>0</v>
      </c>
      <c r="BA3" s="129">
        <f t="shared" si="0"/>
        <v>0</v>
      </c>
      <c r="BB3" s="129">
        <f t="shared" si="0"/>
        <v>8.5</v>
      </c>
      <c r="BC3" s="129">
        <f t="shared" si="0"/>
        <v>0</v>
      </c>
      <c r="BD3" s="129">
        <f t="shared" si="0"/>
        <v>0</v>
      </c>
      <c r="BE3" s="129">
        <f t="shared" si="0"/>
        <v>11.25</v>
      </c>
      <c r="BF3" s="129">
        <f t="shared" si="0"/>
        <v>0</v>
      </c>
      <c r="BG3" s="129">
        <f t="shared" si="0"/>
        <v>0</v>
      </c>
      <c r="BH3" s="129">
        <f t="shared" si="0"/>
        <v>8.25</v>
      </c>
      <c r="BI3" s="129">
        <f t="shared" si="0"/>
        <v>0</v>
      </c>
      <c r="BJ3" s="129">
        <f t="shared" si="0"/>
        <v>0</v>
      </c>
      <c r="BK3" s="129">
        <f t="shared" si="0"/>
        <v>5.5</v>
      </c>
      <c r="BL3" s="129">
        <f t="shared" si="0"/>
        <v>0</v>
      </c>
      <c r="BM3" s="129">
        <f t="shared" si="0"/>
        <v>0</v>
      </c>
      <c r="BN3" s="129">
        <f t="shared" si="0"/>
        <v>6.25</v>
      </c>
      <c r="BO3" s="129">
        <f t="shared" ref="BO3:CX3" si="1">BO4+BO10+BO13</f>
        <v>0</v>
      </c>
      <c r="BP3" s="129">
        <f t="shared" si="1"/>
        <v>0</v>
      </c>
      <c r="BQ3" s="129">
        <f t="shared" si="1"/>
        <v>9.25</v>
      </c>
      <c r="BR3" s="129">
        <f t="shared" si="1"/>
        <v>0</v>
      </c>
      <c r="BS3" s="129">
        <f t="shared" si="1"/>
        <v>0</v>
      </c>
      <c r="BT3" s="129">
        <f t="shared" si="1"/>
        <v>7</v>
      </c>
      <c r="BU3" s="129">
        <f t="shared" si="1"/>
        <v>0</v>
      </c>
      <c r="BV3" s="129">
        <f t="shared" si="1"/>
        <v>0</v>
      </c>
      <c r="BW3" s="129">
        <f t="shared" si="1"/>
        <v>5.25</v>
      </c>
      <c r="BX3" s="129">
        <f t="shared" si="1"/>
        <v>0</v>
      </c>
      <c r="BY3" s="129">
        <f t="shared" si="1"/>
        <v>0</v>
      </c>
      <c r="BZ3" s="129">
        <f t="shared" si="1"/>
        <v>8.25</v>
      </c>
      <c r="CA3" s="129">
        <f t="shared" si="1"/>
        <v>0</v>
      </c>
      <c r="CB3" s="129">
        <f t="shared" si="1"/>
        <v>0</v>
      </c>
      <c r="CC3" s="129">
        <f t="shared" si="1"/>
        <v>5</v>
      </c>
      <c r="CD3" s="129">
        <f t="shared" si="1"/>
        <v>0</v>
      </c>
      <c r="CE3" s="129">
        <f t="shared" si="1"/>
        <v>0</v>
      </c>
      <c r="CF3" s="129">
        <f t="shared" si="1"/>
        <v>3</v>
      </c>
      <c r="CG3" s="129">
        <f t="shared" si="1"/>
        <v>0</v>
      </c>
      <c r="CH3" s="129">
        <f t="shared" si="1"/>
        <v>0</v>
      </c>
      <c r="CI3" s="129">
        <f t="shared" si="1"/>
        <v>5.75</v>
      </c>
      <c r="CJ3" s="129">
        <f t="shared" si="1"/>
        <v>0</v>
      </c>
      <c r="CK3" s="129">
        <f t="shared" si="1"/>
        <v>0</v>
      </c>
      <c r="CL3" s="129">
        <f t="shared" si="1"/>
        <v>5</v>
      </c>
      <c r="CM3" s="129">
        <f t="shared" si="1"/>
        <v>0</v>
      </c>
      <c r="CN3" s="129">
        <f t="shared" si="1"/>
        <v>0</v>
      </c>
      <c r="CO3" s="129">
        <f t="shared" si="1"/>
        <v>5.75</v>
      </c>
      <c r="CP3" s="129">
        <f t="shared" si="1"/>
        <v>0</v>
      </c>
      <c r="CQ3" s="129">
        <f t="shared" si="1"/>
        <v>0</v>
      </c>
      <c r="CR3" s="129">
        <f t="shared" si="1"/>
        <v>3.5</v>
      </c>
      <c r="CS3" s="129">
        <f t="shared" si="1"/>
        <v>0</v>
      </c>
      <c r="CT3" s="129">
        <f t="shared" si="1"/>
        <v>0</v>
      </c>
      <c r="CU3" s="129">
        <f t="shared" si="1"/>
        <v>1.5</v>
      </c>
      <c r="CV3" s="129">
        <f t="shared" si="1"/>
        <v>0</v>
      </c>
      <c r="CW3" s="129">
        <f t="shared" si="1"/>
        <v>0</v>
      </c>
      <c r="CX3" s="129">
        <f t="shared" si="1"/>
        <v>2.5</v>
      </c>
      <c r="CY3" s="129"/>
      <c r="CZ3" s="129"/>
    </row>
    <row r="4" spans="1:104" s="81" customFormat="1">
      <c r="A4" s="130" t="s">
        <v>805</v>
      </c>
      <c r="B4" s="131">
        <f>SUM(B5:B9)</f>
        <v>4</v>
      </c>
      <c r="C4" s="131">
        <f t="shared" ref="C4:BN4" si="2">SUM(C5:C9)</f>
        <v>2.5</v>
      </c>
      <c r="D4" s="131">
        <f t="shared" si="2"/>
        <v>0</v>
      </c>
      <c r="E4" s="131">
        <f t="shared" si="2"/>
        <v>0</v>
      </c>
      <c r="F4" s="131">
        <f t="shared" si="2"/>
        <v>3.25</v>
      </c>
      <c r="G4" s="131">
        <f t="shared" si="2"/>
        <v>0</v>
      </c>
      <c r="H4" s="131">
        <f t="shared" si="2"/>
        <v>0</v>
      </c>
      <c r="I4" s="131">
        <f t="shared" si="2"/>
        <v>3.25</v>
      </c>
      <c r="J4" s="131">
        <f t="shared" si="2"/>
        <v>0</v>
      </c>
      <c r="K4" s="131">
        <f t="shared" si="2"/>
        <v>0</v>
      </c>
      <c r="L4" s="131">
        <f t="shared" si="2"/>
        <v>2</v>
      </c>
      <c r="M4" s="131">
        <f t="shared" si="2"/>
        <v>0</v>
      </c>
      <c r="N4" s="131">
        <f t="shared" si="2"/>
        <v>0</v>
      </c>
      <c r="O4" s="131">
        <f t="shared" si="2"/>
        <v>2.5</v>
      </c>
      <c r="P4" s="131">
        <f t="shared" si="2"/>
        <v>0</v>
      </c>
      <c r="Q4" s="131">
        <f t="shared" si="2"/>
        <v>0</v>
      </c>
      <c r="R4" s="131">
        <f t="shared" si="2"/>
        <v>1.75</v>
      </c>
      <c r="S4" s="131">
        <f t="shared" si="2"/>
        <v>0</v>
      </c>
      <c r="T4" s="131">
        <f t="shared" si="2"/>
        <v>0</v>
      </c>
      <c r="U4" s="131">
        <f t="shared" si="2"/>
        <v>2.75</v>
      </c>
      <c r="V4" s="131">
        <f t="shared" si="2"/>
        <v>0</v>
      </c>
      <c r="W4" s="131">
        <f t="shared" si="2"/>
        <v>0</v>
      </c>
      <c r="X4" s="131">
        <f t="shared" si="2"/>
        <v>2.5</v>
      </c>
      <c r="Y4" s="131">
        <f t="shared" si="2"/>
        <v>0</v>
      </c>
      <c r="Z4" s="131">
        <f t="shared" si="2"/>
        <v>0</v>
      </c>
      <c r="AA4" s="131">
        <f t="shared" si="2"/>
        <v>2.5</v>
      </c>
      <c r="AB4" s="131">
        <f t="shared" si="2"/>
        <v>0</v>
      </c>
      <c r="AC4" s="131">
        <f t="shared" si="2"/>
        <v>0</v>
      </c>
      <c r="AD4" s="131">
        <f t="shared" si="2"/>
        <v>2</v>
      </c>
      <c r="AE4" s="131">
        <f t="shared" si="2"/>
        <v>0</v>
      </c>
      <c r="AF4" s="131">
        <f t="shared" si="2"/>
        <v>0</v>
      </c>
      <c r="AG4" s="131">
        <f t="shared" si="2"/>
        <v>3</v>
      </c>
      <c r="AH4" s="131">
        <f t="shared" si="2"/>
        <v>0</v>
      </c>
      <c r="AI4" s="131">
        <f t="shared" si="2"/>
        <v>0</v>
      </c>
      <c r="AJ4" s="131">
        <f t="shared" si="2"/>
        <v>2.25</v>
      </c>
      <c r="AK4" s="131">
        <f t="shared" si="2"/>
        <v>0</v>
      </c>
      <c r="AL4" s="131">
        <f t="shared" si="2"/>
        <v>0</v>
      </c>
      <c r="AM4" s="131">
        <f t="shared" si="2"/>
        <v>2.75</v>
      </c>
      <c r="AN4" s="131">
        <f t="shared" si="2"/>
        <v>0</v>
      </c>
      <c r="AO4" s="131">
        <f t="shared" si="2"/>
        <v>0</v>
      </c>
      <c r="AP4" s="131">
        <f t="shared" si="2"/>
        <v>2.25</v>
      </c>
      <c r="AQ4" s="131">
        <f t="shared" si="2"/>
        <v>0</v>
      </c>
      <c r="AR4" s="131">
        <f t="shared" si="2"/>
        <v>0</v>
      </c>
      <c r="AS4" s="131">
        <f t="shared" si="2"/>
        <v>3</v>
      </c>
      <c r="AT4" s="131">
        <f t="shared" si="2"/>
        <v>0</v>
      </c>
      <c r="AU4" s="131">
        <f t="shared" si="2"/>
        <v>0</v>
      </c>
      <c r="AV4" s="131">
        <f t="shared" si="2"/>
        <v>2</v>
      </c>
      <c r="AW4" s="131">
        <f t="shared" si="2"/>
        <v>0</v>
      </c>
      <c r="AX4" s="131">
        <f t="shared" si="2"/>
        <v>0</v>
      </c>
      <c r="AY4" s="131">
        <f t="shared" si="2"/>
        <v>2.25</v>
      </c>
      <c r="AZ4" s="131">
        <f t="shared" si="2"/>
        <v>0</v>
      </c>
      <c r="BA4" s="131">
        <f t="shared" si="2"/>
        <v>0</v>
      </c>
      <c r="BB4" s="131">
        <f t="shared" si="2"/>
        <v>1.75</v>
      </c>
      <c r="BC4" s="131">
        <f t="shared" si="2"/>
        <v>0</v>
      </c>
      <c r="BD4" s="131">
        <f t="shared" si="2"/>
        <v>0</v>
      </c>
      <c r="BE4" s="131">
        <f t="shared" si="2"/>
        <v>3</v>
      </c>
      <c r="BF4" s="131">
        <f t="shared" si="2"/>
        <v>0</v>
      </c>
      <c r="BG4" s="131">
        <f t="shared" si="2"/>
        <v>0</v>
      </c>
      <c r="BH4" s="131">
        <f t="shared" si="2"/>
        <v>3</v>
      </c>
      <c r="BI4" s="131">
        <f t="shared" si="2"/>
        <v>0</v>
      </c>
      <c r="BJ4" s="131">
        <f t="shared" si="2"/>
        <v>0</v>
      </c>
      <c r="BK4" s="131">
        <f t="shared" si="2"/>
        <v>2.5</v>
      </c>
      <c r="BL4" s="131">
        <f t="shared" si="2"/>
        <v>0</v>
      </c>
      <c r="BM4" s="131">
        <f t="shared" si="2"/>
        <v>0</v>
      </c>
      <c r="BN4" s="131">
        <f t="shared" si="2"/>
        <v>2.25</v>
      </c>
      <c r="BO4" s="131">
        <f t="shared" ref="BO4:CX4" si="3">SUM(BO5:BO9)</f>
        <v>0</v>
      </c>
      <c r="BP4" s="131">
        <f t="shared" si="3"/>
        <v>0</v>
      </c>
      <c r="BQ4" s="131">
        <f t="shared" si="3"/>
        <v>2</v>
      </c>
      <c r="BR4" s="131">
        <f t="shared" si="3"/>
        <v>0</v>
      </c>
      <c r="BS4" s="131">
        <f t="shared" si="3"/>
        <v>0</v>
      </c>
      <c r="BT4" s="131">
        <f t="shared" si="3"/>
        <v>1.25</v>
      </c>
      <c r="BU4" s="131">
        <f t="shared" si="3"/>
        <v>0</v>
      </c>
      <c r="BV4" s="131">
        <f t="shared" si="3"/>
        <v>0</v>
      </c>
      <c r="BW4" s="131">
        <f t="shared" si="3"/>
        <v>1.25</v>
      </c>
      <c r="BX4" s="131">
        <f t="shared" si="3"/>
        <v>0</v>
      </c>
      <c r="BY4" s="131">
        <f t="shared" si="3"/>
        <v>0</v>
      </c>
      <c r="BZ4" s="131">
        <f t="shared" si="3"/>
        <v>2</v>
      </c>
      <c r="CA4" s="131">
        <f t="shared" si="3"/>
        <v>0</v>
      </c>
      <c r="CB4" s="131">
        <f t="shared" si="3"/>
        <v>0</v>
      </c>
      <c r="CC4" s="131">
        <f t="shared" si="3"/>
        <v>1.5</v>
      </c>
      <c r="CD4" s="131">
        <f t="shared" si="3"/>
        <v>0</v>
      </c>
      <c r="CE4" s="131">
        <f t="shared" si="3"/>
        <v>0</v>
      </c>
      <c r="CF4" s="131">
        <f t="shared" si="3"/>
        <v>1.25</v>
      </c>
      <c r="CG4" s="131">
        <f t="shared" si="3"/>
        <v>0</v>
      </c>
      <c r="CH4" s="131">
        <f t="shared" si="3"/>
        <v>0</v>
      </c>
      <c r="CI4" s="131">
        <f t="shared" si="3"/>
        <v>2</v>
      </c>
      <c r="CJ4" s="131">
        <f t="shared" si="3"/>
        <v>0</v>
      </c>
      <c r="CK4" s="131">
        <f t="shared" si="3"/>
        <v>0</v>
      </c>
      <c r="CL4" s="131">
        <f t="shared" si="3"/>
        <v>2.5</v>
      </c>
      <c r="CM4" s="131">
        <f t="shared" si="3"/>
        <v>0</v>
      </c>
      <c r="CN4" s="131">
        <f t="shared" si="3"/>
        <v>0</v>
      </c>
      <c r="CO4" s="131">
        <f t="shared" si="3"/>
        <v>2.5</v>
      </c>
      <c r="CP4" s="131">
        <f t="shared" si="3"/>
        <v>0</v>
      </c>
      <c r="CQ4" s="131">
        <f t="shared" si="3"/>
        <v>0</v>
      </c>
      <c r="CR4" s="131">
        <f t="shared" si="3"/>
        <v>1.25</v>
      </c>
      <c r="CS4" s="131">
        <f t="shared" si="3"/>
        <v>0</v>
      </c>
      <c r="CT4" s="131">
        <f t="shared" si="3"/>
        <v>0</v>
      </c>
      <c r="CU4" s="131">
        <f t="shared" si="3"/>
        <v>0.75</v>
      </c>
      <c r="CV4" s="131">
        <f t="shared" si="3"/>
        <v>0</v>
      </c>
      <c r="CW4" s="131">
        <f t="shared" si="3"/>
        <v>0</v>
      </c>
      <c r="CX4" s="131">
        <f t="shared" si="3"/>
        <v>1</v>
      </c>
      <c r="CY4" s="132"/>
      <c r="CZ4" s="132"/>
    </row>
    <row r="5" spans="1:104">
      <c r="A5" s="133" t="s">
        <v>806</v>
      </c>
      <c r="B5" s="134">
        <v>0.5</v>
      </c>
      <c r="C5" s="135">
        <v>0.5</v>
      </c>
      <c r="D5" s="136" t="s">
        <v>807</v>
      </c>
      <c r="E5" s="135" t="s">
        <v>808</v>
      </c>
      <c r="F5" s="135">
        <v>0.5</v>
      </c>
      <c r="G5" s="136" t="s">
        <v>809</v>
      </c>
      <c r="H5" s="135" t="s">
        <v>810</v>
      </c>
      <c r="I5" s="135">
        <v>0.5</v>
      </c>
      <c r="J5" s="136" t="s">
        <v>811</v>
      </c>
      <c r="K5" s="137" t="s">
        <v>812</v>
      </c>
      <c r="L5" s="135">
        <v>0.5</v>
      </c>
      <c r="M5" s="136" t="s">
        <v>813</v>
      </c>
      <c r="N5" s="138" t="s">
        <v>814</v>
      </c>
      <c r="O5" s="135">
        <v>0.5</v>
      </c>
      <c r="P5" s="136" t="s">
        <v>815</v>
      </c>
      <c r="Q5" s="135" t="s">
        <v>816</v>
      </c>
      <c r="R5" s="135">
        <v>0.5</v>
      </c>
      <c r="S5" s="136" t="s">
        <v>817</v>
      </c>
      <c r="T5" s="135" t="s">
        <v>818</v>
      </c>
      <c r="U5" s="135">
        <v>0.5</v>
      </c>
      <c r="V5" s="136" t="s">
        <v>819</v>
      </c>
      <c r="W5" s="135" t="s">
        <v>820</v>
      </c>
      <c r="X5" s="135">
        <v>0.5</v>
      </c>
      <c r="Y5" s="136" t="s">
        <v>821</v>
      </c>
      <c r="Z5" s="135" t="s">
        <v>822</v>
      </c>
      <c r="AA5" s="135">
        <v>0.5</v>
      </c>
      <c r="AB5" s="136" t="s">
        <v>823</v>
      </c>
      <c r="AC5" s="135" t="s">
        <v>824</v>
      </c>
      <c r="AD5" s="135">
        <v>0.5</v>
      </c>
      <c r="AE5" s="136" t="s">
        <v>825</v>
      </c>
      <c r="AF5" s="135" t="s">
        <v>826</v>
      </c>
      <c r="AG5" s="135">
        <v>0.5</v>
      </c>
      <c r="AH5" s="135" t="s">
        <v>827</v>
      </c>
      <c r="AI5" s="135" t="s">
        <v>828</v>
      </c>
      <c r="AJ5" s="135">
        <v>0.5</v>
      </c>
      <c r="AK5" s="136" t="s">
        <v>829</v>
      </c>
      <c r="AL5" s="135" t="s">
        <v>830</v>
      </c>
      <c r="AM5" s="135">
        <v>0.5</v>
      </c>
      <c r="AN5" s="136" t="s">
        <v>831</v>
      </c>
      <c r="AO5" s="135" t="s">
        <v>832</v>
      </c>
      <c r="AP5" s="135">
        <v>0.5</v>
      </c>
      <c r="AQ5" s="136" t="s">
        <v>833</v>
      </c>
      <c r="AR5" s="135" t="s">
        <v>834</v>
      </c>
      <c r="AS5" s="135">
        <v>0.5</v>
      </c>
      <c r="AT5" s="135" t="s">
        <v>835</v>
      </c>
      <c r="AU5" s="135" t="s">
        <v>836</v>
      </c>
      <c r="AV5" s="135">
        <v>0.5</v>
      </c>
      <c r="AW5" s="136" t="s">
        <v>837</v>
      </c>
      <c r="AX5" s="137" t="s">
        <v>838</v>
      </c>
      <c r="AY5" s="135">
        <v>0.5</v>
      </c>
      <c r="AZ5" s="136" t="s">
        <v>839</v>
      </c>
      <c r="BA5" s="135" t="s">
        <v>840</v>
      </c>
      <c r="BB5" s="135">
        <v>0.5</v>
      </c>
      <c r="BC5" s="136" t="s">
        <v>841</v>
      </c>
      <c r="BD5" s="138" t="s">
        <v>842</v>
      </c>
      <c r="BE5" s="135">
        <v>0.5</v>
      </c>
      <c r="BF5" s="136" t="s">
        <v>843</v>
      </c>
      <c r="BG5" s="135" t="s">
        <v>808</v>
      </c>
      <c r="BH5" s="135">
        <v>0.5</v>
      </c>
      <c r="BI5" s="136" t="s">
        <v>844</v>
      </c>
      <c r="BJ5" s="135" t="s">
        <v>845</v>
      </c>
      <c r="BK5" s="135">
        <v>0.5</v>
      </c>
      <c r="BL5" s="136" t="s">
        <v>846</v>
      </c>
      <c r="BM5" s="135"/>
      <c r="BN5" s="135">
        <v>0.5</v>
      </c>
      <c r="BO5" s="136" t="s">
        <v>847</v>
      </c>
      <c r="BP5" s="137" t="s">
        <v>848</v>
      </c>
      <c r="BQ5" s="135">
        <v>0.5</v>
      </c>
      <c r="BR5" s="136" t="s">
        <v>849</v>
      </c>
      <c r="BS5" s="135" t="s">
        <v>850</v>
      </c>
      <c r="BT5" s="135">
        <v>0.5</v>
      </c>
      <c r="BU5" s="139" t="s">
        <v>851</v>
      </c>
      <c r="BV5" s="135" t="s">
        <v>852</v>
      </c>
      <c r="BW5" s="135">
        <v>0.5</v>
      </c>
      <c r="BX5" s="136" t="s">
        <v>853</v>
      </c>
      <c r="BY5" s="137" t="s">
        <v>854</v>
      </c>
      <c r="BZ5" s="135">
        <v>0.5</v>
      </c>
      <c r="CA5" s="135" t="s">
        <v>855</v>
      </c>
      <c r="CB5" s="140" t="s">
        <v>856</v>
      </c>
      <c r="CC5" s="135">
        <v>0.5</v>
      </c>
      <c r="CD5" s="136" t="s">
        <v>857</v>
      </c>
      <c r="CE5" s="137" t="s">
        <v>858</v>
      </c>
      <c r="CF5" s="135">
        <v>0.5</v>
      </c>
      <c r="CG5" s="135" t="s">
        <v>859</v>
      </c>
      <c r="CH5" s="138" t="s">
        <v>860</v>
      </c>
      <c r="CI5" s="135">
        <v>0.5</v>
      </c>
      <c r="CJ5" s="136" t="s">
        <v>861</v>
      </c>
      <c r="CK5" s="137" t="s">
        <v>862</v>
      </c>
      <c r="CL5" s="135">
        <v>0.5</v>
      </c>
      <c r="CM5" s="135" t="s">
        <v>863</v>
      </c>
      <c r="CN5" s="138" t="s">
        <v>864</v>
      </c>
      <c r="CO5" s="135">
        <v>0.5</v>
      </c>
      <c r="CP5" s="136" t="s">
        <v>865</v>
      </c>
      <c r="CQ5" s="135" t="s">
        <v>866</v>
      </c>
      <c r="CR5" s="135">
        <v>0.5</v>
      </c>
      <c r="CS5" s="136" t="s">
        <v>867</v>
      </c>
      <c r="CT5" s="135" t="s">
        <v>868</v>
      </c>
      <c r="CU5" s="135">
        <v>0</v>
      </c>
      <c r="CV5" s="141" t="s">
        <v>869</v>
      </c>
      <c r="CW5" s="141" t="s">
        <v>869</v>
      </c>
      <c r="CX5" s="135">
        <v>0.5</v>
      </c>
      <c r="CY5" s="141" t="s">
        <v>870</v>
      </c>
      <c r="CZ5" s="142" t="s">
        <v>871</v>
      </c>
    </row>
    <row r="6" spans="1:104">
      <c r="A6" s="133" t="s">
        <v>597</v>
      </c>
      <c r="B6" s="134">
        <v>1</v>
      </c>
      <c r="C6" s="134">
        <v>1</v>
      </c>
      <c r="D6" s="134">
        <v>0</v>
      </c>
      <c r="E6" s="134">
        <v>0</v>
      </c>
      <c r="F6" s="134">
        <v>1</v>
      </c>
      <c r="G6" s="134">
        <v>0</v>
      </c>
      <c r="H6" s="134">
        <v>0</v>
      </c>
      <c r="I6" s="134">
        <v>0.25</v>
      </c>
      <c r="J6" s="134">
        <v>0</v>
      </c>
      <c r="K6" s="134">
        <v>0</v>
      </c>
      <c r="L6" s="134">
        <v>0</v>
      </c>
      <c r="M6" s="134">
        <v>0</v>
      </c>
      <c r="N6" s="134">
        <v>0</v>
      </c>
      <c r="O6" s="134">
        <v>0.5</v>
      </c>
      <c r="P6" s="134">
        <v>0</v>
      </c>
      <c r="Q6" s="134">
        <v>0</v>
      </c>
      <c r="R6" s="134">
        <v>0.25</v>
      </c>
      <c r="S6" s="134">
        <v>0</v>
      </c>
      <c r="T6" s="134">
        <v>0</v>
      </c>
      <c r="U6" s="134">
        <v>0.75</v>
      </c>
      <c r="V6" s="134">
        <v>0</v>
      </c>
      <c r="W6" s="134">
        <v>0</v>
      </c>
      <c r="X6" s="134">
        <v>0.5</v>
      </c>
      <c r="Y6" s="134">
        <v>0</v>
      </c>
      <c r="Z6" s="134">
        <v>0</v>
      </c>
      <c r="AA6" s="134">
        <v>0.5</v>
      </c>
      <c r="AB6" s="134">
        <v>0</v>
      </c>
      <c r="AC6" s="134">
        <v>0</v>
      </c>
      <c r="AD6" s="134">
        <v>0.5</v>
      </c>
      <c r="AE6" s="134">
        <v>0</v>
      </c>
      <c r="AF6" s="134">
        <v>0</v>
      </c>
      <c r="AG6" s="134">
        <v>0.5</v>
      </c>
      <c r="AH6" s="134">
        <v>0</v>
      </c>
      <c r="AI6" s="134">
        <v>0</v>
      </c>
      <c r="AJ6" s="134">
        <v>0.25</v>
      </c>
      <c r="AK6" s="134">
        <v>0</v>
      </c>
      <c r="AL6" s="134">
        <v>0</v>
      </c>
      <c r="AM6" s="134">
        <v>0.5</v>
      </c>
      <c r="AN6" s="134">
        <v>0</v>
      </c>
      <c r="AO6" s="134">
        <v>0</v>
      </c>
      <c r="AP6" s="134">
        <v>0.25</v>
      </c>
      <c r="AQ6" s="134">
        <v>0</v>
      </c>
      <c r="AR6" s="134">
        <v>0</v>
      </c>
      <c r="AS6" s="134">
        <v>1</v>
      </c>
      <c r="AT6" s="134">
        <v>0</v>
      </c>
      <c r="AU6" s="134">
        <v>0</v>
      </c>
      <c r="AV6" s="134">
        <v>0.5</v>
      </c>
      <c r="AW6" s="134">
        <v>0</v>
      </c>
      <c r="AX6" s="134">
        <v>0</v>
      </c>
      <c r="AY6" s="134">
        <v>0.25</v>
      </c>
      <c r="AZ6" s="134">
        <v>0</v>
      </c>
      <c r="BA6" s="134">
        <v>0</v>
      </c>
      <c r="BB6" s="134">
        <v>0.75</v>
      </c>
      <c r="BC6" s="134">
        <v>0</v>
      </c>
      <c r="BD6" s="134">
        <v>0</v>
      </c>
      <c r="BE6" s="134">
        <v>1</v>
      </c>
      <c r="BF6" s="134">
        <v>0</v>
      </c>
      <c r="BG6" s="134">
        <v>0</v>
      </c>
      <c r="BH6" s="134">
        <v>1</v>
      </c>
      <c r="BI6" s="134">
        <v>0</v>
      </c>
      <c r="BJ6" s="134">
        <v>0</v>
      </c>
      <c r="BK6" s="134">
        <v>0.5</v>
      </c>
      <c r="BL6" s="134">
        <v>0</v>
      </c>
      <c r="BM6" s="134">
        <v>0</v>
      </c>
      <c r="BN6" s="134">
        <v>0.75</v>
      </c>
      <c r="BO6" s="134">
        <v>0</v>
      </c>
      <c r="BP6" s="134">
        <v>0</v>
      </c>
      <c r="BQ6" s="134">
        <v>0.5</v>
      </c>
      <c r="BR6" s="134">
        <v>0</v>
      </c>
      <c r="BS6" s="134">
        <v>0</v>
      </c>
      <c r="BT6" s="134">
        <v>0.25</v>
      </c>
      <c r="BU6" s="134">
        <v>0</v>
      </c>
      <c r="BV6" s="134">
        <v>0</v>
      </c>
      <c r="BW6" s="134">
        <v>0.25</v>
      </c>
      <c r="BX6" s="134">
        <v>0</v>
      </c>
      <c r="BY6" s="134">
        <v>0</v>
      </c>
      <c r="BZ6" s="134">
        <v>1</v>
      </c>
      <c r="CA6" s="134">
        <v>0</v>
      </c>
      <c r="CB6" s="134">
        <v>0</v>
      </c>
      <c r="CC6" s="134">
        <v>0</v>
      </c>
      <c r="CD6" s="134">
        <v>0</v>
      </c>
      <c r="CE6" s="134">
        <v>0</v>
      </c>
      <c r="CF6" s="134">
        <v>0.25</v>
      </c>
      <c r="CG6" s="134">
        <v>0</v>
      </c>
      <c r="CH6" s="134">
        <v>0</v>
      </c>
      <c r="CI6" s="134">
        <v>0.5</v>
      </c>
      <c r="CJ6" s="134">
        <v>0</v>
      </c>
      <c r="CK6" s="134">
        <v>0</v>
      </c>
      <c r="CL6" s="134">
        <v>1</v>
      </c>
      <c r="CM6" s="134">
        <v>0</v>
      </c>
      <c r="CN6" s="134">
        <v>0</v>
      </c>
      <c r="CO6" s="134">
        <v>0.5</v>
      </c>
      <c r="CP6" s="134">
        <v>0</v>
      </c>
      <c r="CQ6" s="134">
        <v>0</v>
      </c>
      <c r="CR6" s="134">
        <v>0.25</v>
      </c>
      <c r="CS6" s="134">
        <v>0</v>
      </c>
      <c r="CT6" s="134">
        <v>0</v>
      </c>
      <c r="CU6" s="134">
        <v>0.25</v>
      </c>
      <c r="CV6" s="134">
        <v>0</v>
      </c>
      <c r="CW6" s="134">
        <v>0</v>
      </c>
      <c r="CX6" s="134">
        <v>0</v>
      </c>
      <c r="CY6" s="141"/>
      <c r="CZ6" s="141"/>
    </row>
    <row r="7" spans="1:104">
      <c r="A7" s="133" t="s">
        <v>885</v>
      </c>
      <c r="B7" s="134">
        <v>0.5</v>
      </c>
      <c r="C7" s="135">
        <v>0.5</v>
      </c>
      <c r="D7" s="136" t="s">
        <v>886</v>
      </c>
      <c r="E7" s="137" t="s">
        <v>872</v>
      </c>
      <c r="F7" s="135">
        <v>0.5</v>
      </c>
      <c r="G7" s="136" t="s">
        <v>887</v>
      </c>
      <c r="H7" s="137" t="s">
        <v>888</v>
      </c>
      <c r="I7" s="135">
        <v>0.5</v>
      </c>
      <c r="J7" s="136" t="s">
        <v>889</v>
      </c>
      <c r="K7" s="137" t="s">
        <v>890</v>
      </c>
      <c r="L7" s="135">
        <v>0.5</v>
      </c>
      <c r="M7" s="136" t="s">
        <v>891</v>
      </c>
      <c r="N7" s="140" t="s">
        <v>892</v>
      </c>
      <c r="O7" s="135">
        <v>0.5</v>
      </c>
      <c r="P7" s="136" t="s">
        <v>893</v>
      </c>
      <c r="Q7" s="137" t="s">
        <v>894</v>
      </c>
      <c r="R7" s="135">
        <v>0</v>
      </c>
      <c r="S7" s="141" t="s">
        <v>869</v>
      </c>
      <c r="T7" s="141" t="s">
        <v>869</v>
      </c>
      <c r="U7" s="135">
        <v>0.5</v>
      </c>
      <c r="V7" s="136" t="s">
        <v>895</v>
      </c>
      <c r="W7" s="135" t="s">
        <v>896</v>
      </c>
      <c r="X7" s="135">
        <v>0.5</v>
      </c>
      <c r="Y7" s="136" t="s">
        <v>897</v>
      </c>
      <c r="Z7" s="137" t="s">
        <v>898</v>
      </c>
      <c r="AA7" s="135">
        <v>0.5</v>
      </c>
      <c r="AB7" s="136" t="s">
        <v>899</v>
      </c>
      <c r="AC7" s="135" t="s">
        <v>824</v>
      </c>
      <c r="AD7" s="135">
        <v>0.5</v>
      </c>
      <c r="AE7" s="136" t="s">
        <v>900</v>
      </c>
      <c r="AF7" s="137" t="s">
        <v>901</v>
      </c>
      <c r="AG7" s="135">
        <v>0.5</v>
      </c>
      <c r="AH7" s="136" t="s">
        <v>902</v>
      </c>
      <c r="AI7" s="137" t="s">
        <v>903</v>
      </c>
      <c r="AJ7" s="135">
        <v>0</v>
      </c>
      <c r="AK7" s="141" t="s">
        <v>869</v>
      </c>
      <c r="AL7" s="141" t="s">
        <v>869</v>
      </c>
      <c r="AM7" s="135">
        <v>0.5</v>
      </c>
      <c r="AN7" s="136" t="s">
        <v>904</v>
      </c>
      <c r="AO7" s="137" t="s">
        <v>905</v>
      </c>
      <c r="AP7" s="135">
        <v>0.5</v>
      </c>
      <c r="AQ7" s="136" t="s">
        <v>906</v>
      </c>
      <c r="AR7" s="137" t="s">
        <v>907</v>
      </c>
      <c r="AS7" s="135">
        <v>0.5</v>
      </c>
      <c r="AT7" s="136" t="s">
        <v>908</v>
      </c>
      <c r="AU7" s="137" t="s">
        <v>909</v>
      </c>
      <c r="AV7" s="135">
        <v>0</v>
      </c>
      <c r="AW7" s="141" t="s">
        <v>869</v>
      </c>
      <c r="AX7" s="141" t="s">
        <v>869</v>
      </c>
      <c r="AY7" s="135">
        <v>0.5</v>
      </c>
      <c r="AZ7" s="136" t="s">
        <v>910</v>
      </c>
      <c r="BA7" s="135" t="s">
        <v>840</v>
      </c>
      <c r="BB7" s="135">
        <v>0.5</v>
      </c>
      <c r="BC7" s="145" t="s">
        <v>911</v>
      </c>
      <c r="BD7" s="138" t="s">
        <v>912</v>
      </c>
      <c r="BE7" s="135">
        <v>0.5</v>
      </c>
      <c r="BF7" s="136" t="s">
        <v>913</v>
      </c>
      <c r="BG7" s="135" t="s">
        <v>808</v>
      </c>
      <c r="BH7" s="135">
        <v>0.5</v>
      </c>
      <c r="BI7" s="136" t="s">
        <v>914</v>
      </c>
      <c r="BJ7" s="137" t="s">
        <v>915</v>
      </c>
      <c r="BK7" s="135">
        <v>0.5</v>
      </c>
      <c r="BL7" s="136" t="s">
        <v>916</v>
      </c>
      <c r="BM7" s="138" t="s">
        <v>917</v>
      </c>
      <c r="BN7" s="135">
        <v>0.5</v>
      </c>
      <c r="BO7" s="136" t="s">
        <v>918</v>
      </c>
      <c r="BP7" s="138" t="s">
        <v>919</v>
      </c>
      <c r="BQ7" s="135">
        <v>0</v>
      </c>
      <c r="BR7" s="141" t="s">
        <v>869</v>
      </c>
      <c r="BS7" s="141" t="s">
        <v>869</v>
      </c>
      <c r="BT7" s="135">
        <v>0</v>
      </c>
      <c r="BU7" s="141" t="s">
        <v>869</v>
      </c>
      <c r="BV7" s="141" t="s">
        <v>869</v>
      </c>
      <c r="BW7" s="135">
        <v>0.5</v>
      </c>
      <c r="BX7" s="136" t="s">
        <v>920</v>
      </c>
      <c r="BY7" s="137" t="s">
        <v>921</v>
      </c>
      <c r="BZ7" s="135">
        <v>0</v>
      </c>
      <c r="CA7" s="141" t="s">
        <v>869</v>
      </c>
      <c r="CB7" s="141" t="s">
        <v>869</v>
      </c>
      <c r="CC7" s="135">
        <v>0.5</v>
      </c>
      <c r="CD7" s="146" t="s">
        <v>922</v>
      </c>
      <c r="CE7" s="138" t="s">
        <v>923</v>
      </c>
      <c r="CF7" s="135">
        <v>0.5</v>
      </c>
      <c r="CG7" s="136" t="s">
        <v>924</v>
      </c>
      <c r="CH7" s="137" t="s">
        <v>925</v>
      </c>
      <c r="CI7" s="135">
        <v>0</v>
      </c>
      <c r="CJ7" s="141" t="s">
        <v>869</v>
      </c>
      <c r="CK7" s="141" t="s">
        <v>869</v>
      </c>
      <c r="CL7" s="135">
        <v>0</v>
      </c>
      <c r="CM7" s="141" t="s">
        <v>869</v>
      </c>
      <c r="CN7" s="141" t="s">
        <v>869</v>
      </c>
      <c r="CO7" s="135">
        <v>0.5</v>
      </c>
      <c r="CP7" s="136" t="s">
        <v>926</v>
      </c>
      <c r="CQ7" s="140" t="s">
        <v>927</v>
      </c>
      <c r="CR7" s="135">
        <v>0.5</v>
      </c>
      <c r="CS7" s="136" t="s">
        <v>928</v>
      </c>
      <c r="CT7" s="140" t="s">
        <v>261</v>
      </c>
      <c r="CU7" s="135">
        <v>0.5</v>
      </c>
      <c r="CV7" s="136" t="s">
        <v>262</v>
      </c>
      <c r="CW7" s="136" t="s">
        <v>263</v>
      </c>
      <c r="CX7" s="135">
        <v>0.5</v>
      </c>
      <c r="CY7" s="136" t="s">
        <v>264</v>
      </c>
      <c r="CZ7" s="137" t="s">
        <v>265</v>
      </c>
    </row>
    <row r="8" spans="1:104">
      <c r="A8" s="133" t="s">
        <v>266</v>
      </c>
      <c r="B8" s="134">
        <v>1</v>
      </c>
      <c r="C8" s="135">
        <v>0.5</v>
      </c>
      <c r="D8" s="136" t="s">
        <v>267</v>
      </c>
      <c r="E8" s="137" t="s">
        <v>268</v>
      </c>
      <c r="F8" s="135">
        <v>0.25</v>
      </c>
      <c r="G8" s="136" t="s">
        <v>269</v>
      </c>
      <c r="H8" s="135" t="s">
        <v>810</v>
      </c>
      <c r="I8" s="135">
        <v>1</v>
      </c>
      <c r="J8" s="136" t="s">
        <v>270</v>
      </c>
      <c r="K8" s="137" t="s">
        <v>271</v>
      </c>
      <c r="L8" s="135">
        <v>0</v>
      </c>
      <c r="M8" s="141" t="s">
        <v>869</v>
      </c>
      <c r="N8" s="141" t="s">
        <v>869</v>
      </c>
      <c r="O8" s="135">
        <v>0</v>
      </c>
      <c r="P8" s="141" t="s">
        <v>869</v>
      </c>
      <c r="Q8" s="141" t="s">
        <v>869</v>
      </c>
      <c r="R8" s="135">
        <v>0</v>
      </c>
      <c r="S8" s="141" t="s">
        <v>869</v>
      </c>
      <c r="T8" s="141" t="s">
        <v>869</v>
      </c>
      <c r="U8" s="135">
        <v>0</v>
      </c>
      <c r="V8" s="141" t="s">
        <v>869</v>
      </c>
      <c r="W8" s="141" t="s">
        <v>869</v>
      </c>
      <c r="X8" s="135">
        <v>0</v>
      </c>
      <c r="Y8" s="141" t="s">
        <v>869</v>
      </c>
      <c r="Z8" s="141" t="s">
        <v>869</v>
      </c>
      <c r="AA8" s="135">
        <v>0</v>
      </c>
      <c r="AB8" s="141" t="s">
        <v>869</v>
      </c>
      <c r="AC8" s="141" t="s">
        <v>869</v>
      </c>
      <c r="AD8" s="135">
        <v>0</v>
      </c>
      <c r="AE8" s="141" t="s">
        <v>869</v>
      </c>
      <c r="AF8" s="141" t="s">
        <v>869</v>
      </c>
      <c r="AG8" s="135">
        <v>0.5</v>
      </c>
      <c r="AH8" s="136" t="s">
        <v>272</v>
      </c>
      <c r="AI8" s="135" t="s">
        <v>828</v>
      </c>
      <c r="AJ8" s="135">
        <v>1</v>
      </c>
      <c r="AK8" s="136" t="s">
        <v>273</v>
      </c>
      <c r="AL8" s="135" t="s">
        <v>830</v>
      </c>
      <c r="AM8" s="135">
        <v>0.25</v>
      </c>
      <c r="AN8" s="136" t="s">
        <v>274</v>
      </c>
      <c r="AO8" s="135" t="s">
        <v>832</v>
      </c>
      <c r="AP8" s="135">
        <v>0</v>
      </c>
      <c r="AQ8" s="141" t="s">
        <v>869</v>
      </c>
      <c r="AR8" s="141" t="s">
        <v>869</v>
      </c>
      <c r="AS8" s="135">
        <v>0</v>
      </c>
      <c r="AT8" s="141" t="s">
        <v>869</v>
      </c>
      <c r="AU8" s="141" t="s">
        <v>869</v>
      </c>
      <c r="AV8" s="135">
        <v>0</v>
      </c>
      <c r="AW8" s="141" t="s">
        <v>869</v>
      </c>
      <c r="AX8" s="141" t="s">
        <v>869</v>
      </c>
      <c r="AY8" s="135">
        <v>0</v>
      </c>
      <c r="AZ8" s="141" t="s">
        <v>869</v>
      </c>
      <c r="BA8" s="141" t="s">
        <v>869</v>
      </c>
      <c r="BB8" s="135">
        <v>0</v>
      </c>
      <c r="BC8" s="141" t="s">
        <v>869</v>
      </c>
      <c r="BD8" s="141" t="s">
        <v>869</v>
      </c>
      <c r="BE8" s="135">
        <v>0</v>
      </c>
      <c r="BF8" s="141" t="s">
        <v>869</v>
      </c>
      <c r="BG8" s="141" t="s">
        <v>869</v>
      </c>
      <c r="BH8" s="135">
        <v>0</v>
      </c>
      <c r="BI8" s="141" t="s">
        <v>869</v>
      </c>
      <c r="BJ8" s="141" t="s">
        <v>869</v>
      </c>
      <c r="BK8" s="135">
        <v>0</v>
      </c>
      <c r="BL8" s="141" t="s">
        <v>869</v>
      </c>
      <c r="BM8" s="141" t="s">
        <v>869</v>
      </c>
      <c r="BN8" s="135">
        <v>0</v>
      </c>
      <c r="BO8" s="141" t="s">
        <v>869</v>
      </c>
      <c r="BP8" s="141" t="s">
        <v>869</v>
      </c>
      <c r="BQ8" s="135">
        <v>0</v>
      </c>
      <c r="BR8" s="141" t="s">
        <v>869</v>
      </c>
      <c r="BS8" s="141" t="s">
        <v>869</v>
      </c>
      <c r="BT8" s="135">
        <v>0</v>
      </c>
      <c r="BU8" s="141" t="s">
        <v>869</v>
      </c>
      <c r="BV8" s="141" t="s">
        <v>869</v>
      </c>
      <c r="BW8" s="135">
        <v>0</v>
      </c>
      <c r="BX8" s="141" t="s">
        <v>869</v>
      </c>
      <c r="BY8" s="141" t="s">
        <v>869</v>
      </c>
      <c r="BZ8" s="135">
        <v>0</v>
      </c>
      <c r="CA8" s="141" t="s">
        <v>869</v>
      </c>
      <c r="CB8" s="141" t="s">
        <v>869</v>
      </c>
      <c r="CC8" s="135">
        <v>0</v>
      </c>
      <c r="CD8" s="141" t="s">
        <v>869</v>
      </c>
      <c r="CE8" s="141" t="s">
        <v>869</v>
      </c>
      <c r="CF8" s="135">
        <v>0</v>
      </c>
      <c r="CG8" s="141" t="s">
        <v>869</v>
      </c>
      <c r="CH8" s="141" t="s">
        <v>869</v>
      </c>
      <c r="CI8" s="135">
        <v>0</v>
      </c>
      <c r="CJ8" s="141" t="s">
        <v>869</v>
      </c>
      <c r="CK8" s="141" t="s">
        <v>869</v>
      </c>
      <c r="CL8" s="135">
        <v>0.5</v>
      </c>
      <c r="CM8" s="144" t="s">
        <v>275</v>
      </c>
      <c r="CN8" s="137" t="s">
        <v>276</v>
      </c>
      <c r="CO8" s="135">
        <v>0</v>
      </c>
      <c r="CP8" s="141" t="s">
        <v>869</v>
      </c>
      <c r="CQ8" s="141" t="s">
        <v>869</v>
      </c>
      <c r="CR8" s="135">
        <v>0</v>
      </c>
      <c r="CS8" s="141" t="s">
        <v>869</v>
      </c>
      <c r="CT8" s="141" t="s">
        <v>869</v>
      </c>
      <c r="CU8" s="135">
        <v>0</v>
      </c>
      <c r="CV8" s="141" t="s">
        <v>869</v>
      </c>
      <c r="CW8" s="141" t="s">
        <v>869</v>
      </c>
      <c r="CX8" s="135">
        <v>0</v>
      </c>
      <c r="CY8" s="141" t="s">
        <v>869</v>
      </c>
      <c r="CZ8" s="141" t="s">
        <v>869</v>
      </c>
    </row>
    <row r="9" spans="1:104">
      <c r="A9" s="133" t="s">
        <v>253</v>
      </c>
      <c r="B9" s="134">
        <v>1</v>
      </c>
      <c r="C9" s="134">
        <v>0</v>
      </c>
      <c r="D9" s="134">
        <v>0</v>
      </c>
      <c r="E9" s="134">
        <v>0</v>
      </c>
      <c r="F9" s="134">
        <v>1</v>
      </c>
      <c r="G9" s="134">
        <v>0</v>
      </c>
      <c r="H9" s="134">
        <v>0</v>
      </c>
      <c r="I9" s="134">
        <v>1</v>
      </c>
      <c r="J9" s="134">
        <v>0</v>
      </c>
      <c r="K9" s="134">
        <v>0</v>
      </c>
      <c r="L9" s="134">
        <v>1</v>
      </c>
      <c r="M9" s="134">
        <v>0</v>
      </c>
      <c r="N9" s="134">
        <v>0</v>
      </c>
      <c r="O9" s="134">
        <v>1</v>
      </c>
      <c r="P9" s="134">
        <v>0</v>
      </c>
      <c r="Q9" s="134">
        <v>0</v>
      </c>
      <c r="R9" s="134">
        <v>1</v>
      </c>
      <c r="S9" s="134">
        <v>0</v>
      </c>
      <c r="T9" s="134">
        <v>0</v>
      </c>
      <c r="U9" s="134">
        <v>1</v>
      </c>
      <c r="V9" s="134">
        <v>0</v>
      </c>
      <c r="W9" s="134">
        <v>0</v>
      </c>
      <c r="X9" s="134">
        <v>1</v>
      </c>
      <c r="Y9" s="134">
        <v>0</v>
      </c>
      <c r="Z9" s="134">
        <v>0</v>
      </c>
      <c r="AA9" s="134">
        <v>1</v>
      </c>
      <c r="AB9" s="134">
        <v>0</v>
      </c>
      <c r="AC9" s="134">
        <v>0</v>
      </c>
      <c r="AD9" s="134">
        <v>0.5</v>
      </c>
      <c r="AE9" s="134">
        <v>0</v>
      </c>
      <c r="AF9" s="134">
        <v>0</v>
      </c>
      <c r="AG9" s="134">
        <v>1</v>
      </c>
      <c r="AH9" s="134">
        <v>0</v>
      </c>
      <c r="AI9" s="134">
        <v>0</v>
      </c>
      <c r="AJ9" s="134">
        <v>0.5</v>
      </c>
      <c r="AK9" s="134">
        <v>0</v>
      </c>
      <c r="AL9" s="134">
        <v>0</v>
      </c>
      <c r="AM9" s="134">
        <v>1</v>
      </c>
      <c r="AN9" s="134">
        <v>0</v>
      </c>
      <c r="AO9" s="134">
        <v>0</v>
      </c>
      <c r="AP9" s="134">
        <v>1</v>
      </c>
      <c r="AQ9" s="134">
        <v>0</v>
      </c>
      <c r="AR9" s="134">
        <v>0</v>
      </c>
      <c r="AS9" s="134">
        <v>1</v>
      </c>
      <c r="AT9" s="134">
        <v>0</v>
      </c>
      <c r="AU9" s="134">
        <v>0</v>
      </c>
      <c r="AV9" s="134">
        <v>1</v>
      </c>
      <c r="AW9" s="134">
        <v>0</v>
      </c>
      <c r="AX9" s="134">
        <v>0</v>
      </c>
      <c r="AY9" s="134">
        <v>1</v>
      </c>
      <c r="AZ9" s="134">
        <v>0</v>
      </c>
      <c r="BA9" s="134">
        <v>0</v>
      </c>
      <c r="BB9" s="134">
        <v>0</v>
      </c>
      <c r="BC9" s="134">
        <v>0</v>
      </c>
      <c r="BD9" s="134">
        <v>0</v>
      </c>
      <c r="BE9" s="134">
        <v>1</v>
      </c>
      <c r="BF9" s="134">
        <v>0</v>
      </c>
      <c r="BG9" s="134">
        <v>0</v>
      </c>
      <c r="BH9" s="134">
        <v>1</v>
      </c>
      <c r="BI9" s="134">
        <v>0</v>
      </c>
      <c r="BJ9" s="134">
        <v>0</v>
      </c>
      <c r="BK9" s="134">
        <v>1</v>
      </c>
      <c r="BL9" s="134">
        <v>0</v>
      </c>
      <c r="BM9" s="134">
        <v>0</v>
      </c>
      <c r="BN9" s="134">
        <v>0.5</v>
      </c>
      <c r="BO9" s="134">
        <v>0</v>
      </c>
      <c r="BP9" s="134">
        <v>0</v>
      </c>
      <c r="BQ9" s="134">
        <v>1</v>
      </c>
      <c r="BR9" s="134">
        <v>0</v>
      </c>
      <c r="BS9" s="134">
        <v>0</v>
      </c>
      <c r="BT9" s="134">
        <v>0.5</v>
      </c>
      <c r="BU9" s="134">
        <v>0</v>
      </c>
      <c r="BV9" s="134">
        <v>0</v>
      </c>
      <c r="BW9" s="134">
        <v>0</v>
      </c>
      <c r="BX9" s="134">
        <v>0</v>
      </c>
      <c r="BY9" s="134">
        <v>0</v>
      </c>
      <c r="BZ9" s="134">
        <v>0.5</v>
      </c>
      <c r="CA9" s="134">
        <v>0</v>
      </c>
      <c r="CB9" s="134">
        <v>0</v>
      </c>
      <c r="CC9" s="134">
        <v>0.5</v>
      </c>
      <c r="CD9" s="134">
        <v>0</v>
      </c>
      <c r="CE9" s="134">
        <v>0</v>
      </c>
      <c r="CF9" s="134">
        <v>0</v>
      </c>
      <c r="CG9" s="134">
        <v>0</v>
      </c>
      <c r="CH9" s="134">
        <v>0</v>
      </c>
      <c r="CI9" s="134">
        <v>1</v>
      </c>
      <c r="CJ9" s="134">
        <v>0</v>
      </c>
      <c r="CK9" s="134">
        <v>0</v>
      </c>
      <c r="CL9" s="134">
        <v>0.5</v>
      </c>
      <c r="CM9" s="134">
        <v>0</v>
      </c>
      <c r="CN9" s="134">
        <v>0</v>
      </c>
      <c r="CO9" s="134">
        <v>1</v>
      </c>
      <c r="CP9" s="134">
        <v>0</v>
      </c>
      <c r="CQ9" s="134">
        <v>0</v>
      </c>
      <c r="CR9" s="134">
        <v>0</v>
      </c>
      <c r="CS9" s="134">
        <v>0</v>
      </c>
      <c r="CT9" s="134">
        <v>0</v>
      </c>
      <c r="CU9" s="134">
        <v>0</v>
      </c>
      <c r="CV9" s="134">
        <v>0</v>
      </c>
      <c r="CW9" s="134">
        <v>0</v>
      </c>
      <c r="CX9" s="134">
        <v>0</v>
      </c>
      <c r="CY9" s="141"/>
      <c r="CZ9" s="141"/>
    </row>
    <row r="10" spans="1:104" s="81" customFormat="1">
      <c r="A10" s="130" t="s">
        <v>282</v>
      </c>
      <c r="B10" s="131">
        <f>SUM(B11:B12)</f>
        <v>2</v>
      </c>
      <c r="C10" s="131">
        <f t="shared" ref="C10:BN10" si="4">SUM(C11:C12)</f>
        <v>1.5</v>
      </c>
      <c r="D10" s="131">
        <f t="shared" si="4"/>
        <v>0</v>
      </c>
      <c r="E10" s="131">
        <f t="shared" si="4"/>
        <v>0</v>
      </c>
      <c r="F10" s="131">
        <f t="shared" si="4"/>
        <v>2</v>
      </c>
      <c r="G10" s="131">
        <f t="shared" si="4"/>
        <v>0</v>
      </c>
      <c r="H10" s="131">
        <f t="shared" si="4"/>
        <v>0</v>
      </c>
      <c r="I10" s="131">
        <f t="shared" si="4"/>
        <v>1.5</v>
      </c>
      <c r="J10" s="131">
        <f t="shared" si="4"/>
        <v>0</v>
      </c>
      <c r="K10" s="131">
        <f t="shared" si="4"/>
        <v>0</v>
      </c>
      <c r="L10" s="131">
        <f t="shared" si="4"/>
        <v>2</v>
      </c>
      <c r="M10" s="131">
        <f t="shared" si="4"/>
        <v>0</v>
      </c>
      <c r="N10" s="131">
        <f t="shared" si="4"/>
        <v>0</v>
      </c>
      <c r="O10" s="131">
        <f t="shared" si="4"/>
        <v>1.5</v>
      </c>
      <c r="P10" s="131">
        <f t="shared" si="4"/>
        <v>0</v>
      </c>
      <c r="Q10" s="131">
        <f t="shared" si="4"/>
        <v>0</v>
      </c>
      <c r="R10" s="131">
        <f t="shared" si="4"/>
        <v>1.5</v>
      </c>
      <c r="S10" s="131">
        <f t="shared" si="4"/>
        <v>0</v>
      </c>
      <c r="T10" s="131">
        <f t="shared" si="4"/>
        <v>0</v>
      </c>
      <c r="U10" s="131">
        <f t="shared" si="4"/>
        <v>1.75</v>
      </c>
      <c r="V10" s="131">
        <f t="shared" si="4"/>
        <v>0</v>
      </c>
      <c r="W10" s="131">
        <f t="shared" si="4"/>
        <v>0</v>
      </c>
      <c r="X10" s="131">
        <f t="shared" si="4"/>
        <v>1.5</v>
      </c>
      <c r="Y10" s="131">
        <f t="shared" si="4"/>
        <v>0</v>
      </c>
      <c r="Z10" s="131">
        <f t="shared" si="4"/>
        <v>0</v>
      </c>
      <c r="AA10" s="131">
        <f t="shared" si="4"/>
        <v>1</v>
      </c>
      <c r="AB10" s="131">
        <f t="shared" si="4"/>
        <v>0</v>
      </c>
      <c r="AC10" s="131">
        <f t="shared" si="4"/>
        <v>0</v>
      </c>
      <c r="AD10" s="131">
        <f t="shared" si="4"/>
        <v>1.5</v>
      </c>
      <c r="AE10" s="131">
        <f t="shared" si="4"/>
        <v>0</v>
      </c>
      <c r="AF10" s="131">
        <f t="shared" si="4"/>
        <v>0</v>
      </c>
      <c r="AG10" s="131">
        <f t="shared" si="4"/>
        <v>1.5</v>
      </c>
      <c r="AH10" s="131">
        <f t="shared" si="4"/>
        <v>0</v>
      </c>
      <c r="AI10" s="131">
        <f t="shared" si="4"/>
        <v>0</v>
      </c>
      <c r="AJ10" s="131">
        <f t="shared" si="4"/>
        <v>1</v>
      </c>
      <c r="AK10" s="131">
        <f t="shared" si="4"/>
        <v>0</v>
      </c>
      <c r="AL10" s="131">
        <f t="shared" si="4"/>
        <v>0</v>
      </c>
      <c r="AM10" s="131">
        <f t="shared" si="4"/>
        <v>1.25</v>
      </c>
      <c r="AN10" s="131">
        <f t="shared" si="4"/>
        <v>0</v>
      </c>
      <c r="AO10" s="131">
        <f t="shared" si="4"/>
        <v>0</v>
      </c>
      <c r="AP10" s="131">
        <f t="shared" si="4"/>
        <v>1.5</v>
      </c>
      <c r="AQ10" s="131">
        <f t="shared" si="4"/>
        <v>0</v>
      </c>
      <c r="AR10" s="131">
        <f t="shared" si="4"/>
        <v>0</v>
      </c>
      <c r="AS10" s="131">
        <f t="shared" si="4"/>
        <v>2</v>
      </c>
      <c r="AT10" s="131">
        <f t="shared" si="4"/>
        <v>0</v>
      </c>
      <c r="AU10" s="131">
        <f t="shared" si="4"/>
        <v>0</v>
      </c>
      <c r="AV10" s="131">
        <f t="shared" si="4"/>
        <v>0.5</v>
      </c>
      <c r="AW10" s="131">
        <f t="shared" si="4"/>
        <v>0</v>
      </c>
      <c r="AX10" s="131">
        <f t="shared" si="4"/>
        <v>0</v>
      </c>
      <c r="AY10" s="131">
        <f t="shared" si="4"/>
        <v>1</v>
      </c>
      <c r="AZ10" s="131">
        <f t="shared" si="4"/>
        <v>0</v>
      </c>
      <c r="BA10" s="131">
        <f t="shared" si="4"/>
        <v>0</v>
      </c>
      <c r="BB10" s="131">
        <f t="shared" si="4"/>
        <v>1</v>
      </c>
      <c r="BC10" s="131">
        <f t="shared" si="4"/>
        <v>0</v>
      </c>
      <c r="BD10" s="131">
        <f t="shared" si="4"/>
        <v>0</v>
      </c>
      <c r="BE10" s="131">
        <f t="shared" si="4"/>
        <v>1.75</v>
      </c>
      <c r="BF10" s="131">
        <f t="shared" si="4"/>
        <v>0</v>
      </c>
      <c r="BG10" s="131">
        <f t="shared" si="4"/>
        <v>0</v>
      </c>
      <c r="BH10" s="131">
        <f t="shared" si="4"/>
        <v>1.5</v>
      </c>
      <c r="BI10" s="131">
        <f t="shared" si="4"/>
        <v>0</v>
      </c>
      <c r="BJ10" s="131">
        <f t="shared" si="4"/>
        <v>0</v>
      </c>
      <c r="BK10" s="131">
        <f t="shared" si="4"/>
        <v>0</v>
      </c>
      <c r="BL10" s="131">
        <f t="shared" si="4"/>
        <v>0</v>
      </c>
      <c r="BM10" s="131">
        <f t="shared" si="4"/>
        <v>0</v>
      </c>
      <c r="BN10" s="131">
        <f t="shared" si="4"/>
        <v>0.5</v>
      </c>
      <c r="BO10" s="131">
        <f t="shared" ref="BO10:CX10" si="5">SUM(BO11:BO12)</f>
        <v>0</v>
      </c>
      <c r="BP10" s="131">
        <f t="shared" si="5"/>
        <v>0</v>
      </c>
      <c r="BQ10" s="131">
        <f t="shared" si="5"/>
        <v>2</v>
      </c>
      <c r="BR10" s="131">
        <f t="shared" si="5"/>
        <v>0</v>
      </c>
      <c r="BS10" s="131">
        <f t="shared" si="5"/>
        <v>0</v>
      </c>
      <c r="BT10" s="131">
        <f t="shared" si="5"/>
        <v>1.5</v>
      </c>
      <c r="BU10" s="131">
        <f t="shared" si="5"/>
        <v>0</v>
      </c>
      <c r="BV10" s="131">
        <f t="shared" si="5"/>
        <v>0</v>
      </c>
      <c r="BW10" s="131">
        <f t="shared" si="5"/>
        <v>0.5</v>
      </c>
      <c r="BX10" s="131">
        <f t="shared" si="5"/>
        <v>0</v>
      </c>
      <c r="BY10" s="131">
        <f t="shared" si="5"/>
        <v>0</v>
      </c>
      <c r="BZ10" s="131">
        <f t="shared" si="5"/>
        <v>1</v>
      </c>
      <c r="CA10" s="131">
        <f t="shared" si="5"/>
        <v>0</v>
      </c>
      <c r="CB10" s="131">
        <f t="shared" si="5"/>
        <v>0</v>
      </c>
      <c r="CC10" s="131">
        <f t="shared" si="5"/>
        <v>0</v>
      </c>
      <c r="CD10" s="131">
        <f t="shared" si="5"/>
        <v>0</v>
      </c>
      <c r="CE10" s="131">
        <f t="shared" si="5"/>
        <v>0</v>
      </c>
      <c r="CF10" s="131">
        <f t="shared" si="5"/>
        <v>0</v>
      </c>
      <c r="CG10" s="131">
        <f t="shared" si="5"/>
        <v>0</v>
      </c>
      <c r="CH10" s="131">
        <f t="shared" si="5"/>
        <v>0</v>
      </c>
      <c r="CI10" s="131">
        <f t="shared" si="5"/>
        <v>1</v>
      </c>
      <c r="CJ10" s="131">
        <f t="shared" si="5"/>
        <v>0</v>
      </c>
      <c r="CK10" s="131">
        <f t="shared" si="5"/>
        <v>0</v>
      </c>
      <c r="CL10" s="131">
        <f t="shared" si="5"/>
        <v>0.5</v>
      </c>
      <c r="CM10" s="131">
        <f t="shared" si="5"/>
        <v>0</v>
      </c>
      <c r="CN10" s="131">
        <f t="shared" si="5"/>
        <v>0</v>
      </c>
      <c r="CO10" s="131">
        <f t="shared" si="5"/>
        <v>0.5</v>
      </c>
      <c r="CP10" s="131">
        <f t="shared" si="5"/>
        <v>0</v>
      </c>
      <c r="CQ10" s="131">
        <f t="shared" si="5"/>
        <v>0</v>
      </c>
      <c r="CR10" s="131">
        <f t="shared" si="5"/>
        <v>1.75</v>
      </c>
      <c r="CS10" s="131">
        <f t="shared" si="5"/>
        <v>0</v>
      </c>
      <c r="CT10" s="131">
        <f t="shared" si="5"/>
        <v>0</v>
      </c>
      <c r="CU10" s="131">
        <f t="shared" si="5"/>
        <v>0</v>
      </c>
      <c r="CV10" s="131">
        <f t="shared" si="5"/>
        <v>0</v>
      </c>
      <c r="CW10" s="131">
        <f t="shared" si="5"/>
        <v>0</v>
      </c>
      <c r="CX10" s="131">
        <f t="shared" si="5"/>
        <v>0</v>
      </c>
      <c r="CY10" s="132"/>
      <c r="CZ10" s="132"/>
    </row>
    <row r="11" spans="1:104">
      <c r="A11" s="133" t="s">
        <v>612</v>
      </c>
      <c r="B11" s="134">
        <v>1</v>
      </c>
      <c r="C11" s="134">
        <v>0.5</v>
      </c>
      <c r="D11" s="134">
        <v>0</v>
      </c>
      <c r="E11" s="134">
        <v>0</v>
      </c>
      <c r="F11" s="134">
        <v>1</v>
      </c>
      <c r="G11" s="134">
        <v>0</v>
      </c>
      <c r="H11" s="134">
        <v>0</v>
      </c>
      <c r="I11" s="134">
        <v>1</v>
      </c>
      <c r="J11" s="134">
        <v>0</v>
      </c>
      <c r="K11" s="134">
        <v>0</v>
      </c>
      <c r="L11" s="134">
        <v>1</v>
      </c>
      <c r="M11" s="134">
        <v>0</v>
      </c>
      <c r="N11" s="134">
        <v>0</v>
      </c>
      <c r="O11" s="134">
        <v>1</v>
      </c>
      <c r="P11" s="134">
        <v>0</v>
      </c>
      <c r="Q11" s="134">
        <v>0</v>
      </c>
      <c r="R11" s="134">
        <v>1</v>
      </c>
      <c r="S11" s="134">
        <v>0</v>
      </c>
      <c r="T11" s="134">
        <v>0</v>
      </c>
      <c r="U11" s="134">
        <v>0.75</v>
      </c>
      <c r="V11" s="134">
        <v>0</v>
      </c>
      <c r="W11" s="134">
        <v>0</v>
      </c>
      <c r="X11" s="134">
        <v>1</v>
      </c>
      <c r="Y11" s="134">
        <v>0</v>
      </c>
      <c r="Z11" s="134">
        <v>0</v>
      </c>
      <c r="AA11" s="134">
        <v>0.5</v>
      </c>
      <c r="AB11" s="134">
        <v>0</v>
      </c>
      <c r="AC11" s="134">
        <v>0</v>
      </c>
      <c r="AD11" s="134">
        <v>1</v>
      </c>
      <c r="AE11" s="134">
        <v>0</v>
      </c>
      <c r="AF11" s="134">
        <v>0</v>
      </c>
      <c r="AG11" s="134">
        <v>1</v>
      </c>
      <c r="AH11" s="134">
        <v>0</v>
      </c>
      <c r="AI11" s="134">
        <v>0</v>
      </c>
      <c r="AJ11" s="134">
        <v>1</v>
      </c>
      <c r="AK11" s="134">
        <v>0</v>
      </c>
      <c r="AL11" s="134">
        <v>0</v>
      </c>
      <c r="AM11" s="134">
        <v>0.25</v>
      </c>
      <c r="AN11" s="134">
        <v>0</v>
      </c>
      <c r="AO11" s="134">
        <v>0</v>
      </c>
      <c r="AP11" s="134">
        <v>1</v>
      </c>
      <c r="AQ11" s="134">
        <v>0</v>
      </c>
      <c r="AR11" s="134">
        <v>0</v>
      </c>
      <c r="AS11" s="134">
        <v>1</v>
      </c>
      <c r="AT11" s="134">
        <v>0</v>
      </c>
      <c r="AU11" s="134">
        <v>0</v>
      </c>
      <c r="AV11" s="134">
        <v>0.5</v>
      </c>
      <c r="AW11" s="134">
        <v>0</v>
      </c>
      <c r="AX11" s="134">
        <v>0</v>
      </c>
      <c r="AY11" s="134">
        <v>0</v>
      </c>
      <c r="AZ11" s="134">
        <v>0</v>
      </c>
      <c r="BA11" s="134">
        <v>0</v>
      </c>
      <c r="BB11" s="134">
        <v>1</v>
      </c>
      <c r="BC11" s="134">
        <v>0</v>
      </c>
      <c r="BD11" s="134">
        <v>0</v>
      </c>
      <c r="BE11" s="134">
        <v>0.75</v>
      </c>
      <c r="BF11" s="134">
        <v>0</v>
      </c>
      <c r="BG11" s="134">
        <v>0</v>
      </c>
      <c r="BH11" s="134">
        <v>0.5</v>
      </c>
      <c r="BI11" s="134">
        <v>0</v>
      </c>
      <c r="BJ11" s="134">
        <v>0</v>
      </c>
      <c r="BK11" s="134">
        <v>0</v>
      </c>
      <c r="BL11" s="134">
        <v>0</v>
      </c>
      <c r="BM11" s="134">
        <v>0</v>
      </c>
      <c r="BN11" s="134">
        <v>0.5</v>
      </c>
      <c r="BO11" s="134">
        <v>0</v>
      </c>
      <c r="BP11" s="134">
        <v>0</v>
      </c>
      <c r="BQ11" s="134">
        <v>1</v>
      </c>
      <c r="BR11" s="134">
        <v>0</v>
      </c>
      <c r="BS11" s="134">
        <v>0</v>
      </c>
      <c r="BT11" s="134">
        <v>0.5</v>
      </c>
      <c r="BU11" s="134">
        <v>0</v>
      </c>
      <c r="BV11" s="134">
        <v>0</v>
      </c>
      <c r="BW11" s="134">
        <v>0.5</v>
      </c>
      <c r="BX11" s="134">
        <v>0</v>
      </c>
      <c r="BY11" s="134">
        <v>0</v>
      </c>
      <c r="BZ11" s="134">
        <v>0.5</v>
      </c>
      <c r="CA11" s="134">
        <v>0</v>
      </c>
      <c r="CB11" s="134">
        <v>0</v>
      </c>
      <c r="CC11" s="134">
        <v>0</v>
      </c>
      <c r="CD11" s="134">
        <v>0</v>
      </c>
      <c r="CE11" s="134">
        <v>0</v>
      </c>
      <c r="CF11" s="134">
        <v>0</v>
      </c>
      <c r="CG11" s="134">
        <v>0</v>
      </c>
      <c r="CH11" s="134">
        <v>0</v>
      </c>
      <c r="CI11" s="134">
        <v>0.5</v>
      </c>
      <c r="CJ11" s="134">
        <v>0</v>
      </c>
      <c r="CK11" s="134">
        <v>0</v>
      </c>
      <c r="CL11" s="134">
        <v>0.5</v>
      </c>
      <c r="CM11" s="134">
        <v>0</v>
      </c>
      <c r="CN11" s="134">
        <v>0</v>
      </c>
      <c r="CO11" s="134">
        <v>0.5</v>
      </c>
      <c r="CP11" s="134">
        <v>0</v>
      </c>
      <c r="CQ11" s="134">
        <v>0</v>
      </c>
      <c r="CR11" s="134">
        <v>0.75</v>
      </c>
      <c r="CS11" s="134">
        <v>0</v>
      </c>
      <c r="CT11" s="134">
        <v>0</v>
      </c>
      <c r="CU11" s="134">
        <v>0</v>
      </c>
      <c r="CV11" s="134">
        <v>0</v>
      </c>
      <c r="CW11" s="134">
        <v>0</v>
      </c>
      <c r="CX11" s="134">
        <v>0</v>
      </c>
      <c r="CY11" s="141"/>
      <c r="CZ11" s="141"/>
    </row>
    <row r="12" spans="1:104">
      <c r="A12" s="133" t="s">
        <v>615</v>
      </c>
      <c r="B12" s="134">
        <v>1</v>
      </c>
      <c r="C12" s="135">
        <v>1</v>
      </c>
      <c r="D12" s="136" t="s">
        <v>293</v>
      </c>
      <c r="E12" s="137" t="s">
        <v>294</v>
      </c>
      <c r="F12" s="135">
        <v>1</v>
      </c>
      <c r="G12" s="136" t="s">
        <v>295</v>
      </c>
      <c r="H12" s="136" t="s">
        <v>296</v>
      </c>
      <c r="I12" s="135">
        <v>0.5</v>
      </c>
      <c r="J12" s="136" t="s">
        <v>297</v>
      </c>
      <c r="K12" s="137" t="s">
        <v>298</v>
      </c>
      <c r="L12" s="135">
        <v>1</v>
      </c>
      <c r="M12" s="147" t="s">
        <v>299</v>
      </c>
      <c r="N12" s="148" t="s">
        <v>300</v>
      </c>
      <c r="O12" s="135">
        <v>0.5</v>
      </c>
      <c r="P12" s="135" t="s">
        <v>301</v>
      </c>
      <c r="Q12" s="137" t="s">
        <v>302</v>
      </c>
      <c r="R12" s="135">
        <v>0.5</v>
      </c>
      <c r="S12" s="136" t="s">
        <v>303</v>
      </c>
      <c r="T12" s="137" t="s">
        <v>304</v>
      </c>
      <c r="U12" s="135">
        <v>1</v>
      </c>
      <c r="V12" s="136" t="s">
        <v>305</v>
      </c>
      <c r="W12" s="137" t="s">
        <v>306</v>
      </c>
      <c r="X12" s="135">
        <v>0.5</v>
      </c>
      <c r="Y12" s="136" t="s">
        <v>307</v>
      </c>
      <c r="Z12" s="137" t="s">
        <v>306</v>
      </c>
      <c r="AA12" s="135">
        <v>0.5</v>
      </c>
      <c r="AB12" s="136" t="s">
        <v>308</v>
      </c>
      <c r="AC12" s="135" t="s">
        <v>824</v>
      </c>
      <c r="AD12" s="135">
        <v>0.5</v>
      </c>
      <c r="AE12" s="136" t="s">
        <v>309</v>
      </c>
      <c r="AF12" s="137" t="s">
        <v>874</v>
      </c>
      <c r="AG12" s="135">
        <v>0.5</v>
      </c>
      <c r="AH12" s="136" t="s">
        <v>310</v>
      </c>
      <c r="AI12" s="137" t="s">
        <v>311</v>
      </c>
      <c r="AJ12" s="135">
        <v>0</v>
      </c>
      <c r="AK12" s="141" t="s">
        <v>869</v>
      </c>
      <c r="AL12" s="141" t="s">
        <v>869</v>
      </c>
      <c r="AM12" s="135">
        <v>1</v>
      </c>
      <c r="AN12" s="136" t="s">
        <v>312</v>
      </c>
      <c r="AO12" s="137" t="s">
        <v>313</v>
      </c>
      <c r="AP12" s="135">
        <v>0.5</v>
      </c>
      <c r="AQ12" s="136" t="s">
        <v>314</v>
      </c>
      <c r="AR12" s="137" t="s">
        <v>315</v>
      </c>
      <c r="AS12" s="135">
        <v>1</v>
      </c>
      <c r="AT12" s="136" t="s">
        <v>316</v>
      </c>
      <c r="AU12" s="135" t="s">
        <v>836</v>
      </c>
      <c r="AV12" s="135">
        <v>0</v>
      </c>
      <c r="AW12" s="141" t="s">
        <v>869</v>
      </c>
      <c r="AX12" s="141" t="s">
        <v>869</v>
      </c>
      <c r="AY12" s="135">
        <v>1</v>
      </c>
      <c r="AZ12" s="136" t="s">
        <v>317</v>
      </c>
      <c r="BA12" s="135" t="s">
        <v>840</v>
      </c>
      <c r="BB12" s="135">
        <v>0</v>
      </c>
      <c r="BC12" s="141" t="s">
        <v>869</v>
      </c>
      <c r="BD12" s="141" t="s">
        <v>869</v>
      </c>
      <c r="BE12" s="135">
        <v>1</v>
      </c>
      <c r="BF12" s="136" t="s">
        <v>318</v>
      </c>
      <c r="BG12" s="135" t="s">
        <v>808</v>
      </c>
      <c r="BH12" s="135">
        <v>1</v>
      </c>
      <c r="BI12" s="136" t="s">
        <v>319</v>
      </c>
      <c r="BJ12" s="137" t="s">
        <v>320</v>
      </c>
      <c r="BK12" s="135">
        <v>0</v>
      </c>
      <c r="BL12" s="141" t="s">
        <v>869</v>
      </c>
      <c r="BM12" s="141" t="s">
        <v>869</v>
      </c>
      <c r="BN12" s="135">
        <v>0</v>
      </c>
      <c r="BO12" s="141" t="s">
        <v>869</v>
      </c>
      <c r="BP12" s="141" t="s">
        <v>869</v>
      </c>
      <c r="BQ12" s="135">
        <v>1</v>
      </c>
      <c r="BR12" s="136" t="s">
        <v>321</v>
      </c>
      <c r="BS12" s="135" t="s">
        <v>850</v>
      </c>
      <c r="BT12" s="135">
        <v>1</v>
      </c>
      <c r="BU12" s="136" t="s">
        <v>322</v>
      </c>
      <c r="BV12" s="135" t="s">
        <v>852</v>
      </c>
      <c r="BW12" s="135">
        <v>0</v>
      </c>
      <c r="BX12" s="141" t="s">
        <v>869</v>
      </c>
      <c r="BY12" s="141" t="s">
        <v>869</v>
      </c>
      <c r="BZ12" s="135">
        <v>0.5</v>
      </c>
      <c r="CA12" s="136" t="s">
        <v>323</v>
      </c>
      <c r="CB12" s="140" t="s">
        <v>324</v>
      </c>
      <c r="CC12" s="135">
        <v>0</v>
      </c>
      <c r="CD12" s="141" t="s">
        <v>869</v>
      </c>
      <c r="CE12" s="141" t="s">
        <v>869</v>
      </c>
      <c r="CF12" s="135">
        <v>0</v>
      </c>
      <c r="CG12" s="141" t="s">
        <v>869</v>
      </c>
      <c r="CH12" s="141" t="s">
        <v>869</v>
      </c>
      <c r="CI12" s="135">
        <v>0.5</v>
      </c>
      <c r="CJ12" s="136" t="s">
        <v>325</v>
      </c>
      <c r="CK12" s="135" t="s">
        <v>882</v>
      </c>
      <c r="CL12" s="135">
        <v>0</v>
      </c>
      <c r="CM12" s="141" t="s">
        <v>869</v>
      </c>
      <c r="CN12" s="141" t="s">
        <v>869</v>
      </c>
      <c r="CO12" s="135">
        <v>0</v>
      </c>
      <c r="CP12" s="141" t="s">
        <v>869</v>
      </c>
      <c r="CQ12" s="141" t="s">
        <v>869</v>
      </c>
      <c r="CR12" s="135">
        <v>1</v>
      </c>
      <c r="CS12" s="135" t="s">
        <v>326</v>
      </c>
      <c r="CT12" s="135" t="s">
        <v>868</v>
      </c>
      <c r="CU12" s="135">
        <v>0</v>
      </c>
      <c r="CV12" s="141" t="s">
        <v>869</v>
      </c>
      <c r="CW12" s="141" t="s">
        <v>869</v>
      </c>
      <c r="CX12" s="135">
        <v>0</v>
      </c>
      <c r="CY12" s="141" t="s">
        <v>869</v>
      </c>
      <c r="CZ12" s="141" t="s">
        <v>869</v>
      </c>
    </row>
    <row r="13" spans="1:104" s="81" customFormat="1" ht="15.75" thickBot="1">
      <c r="A13" s="130" t="s">
        <v>327</v>
      </c>
      <c r="B13" s="131">
        <f>SUM(B14:B21)</f>
        <v>9</v>
      </c>
      <c r="C13" s="131">
        <f t="shared" ref="C13:BN13" si="6">SUM(C14:C21)</f>
        <v>7</v>
      </c>
      <c r="D13" s="131">
        <f t="shared" si="6"/>
        <v>0</v>
      </c>
      <c r="E13" s="131">
        <f t="shared" si="6"/>
        <v>0</v>
      </c>
      <c r="F13" s="131">
        <f t="shared" si="6"/>
        <v>8.5</v>
      </c>
      <c r="G13" s="131">
        <f t="shared" si="6"/>
        <v>0</v>
      </c>
      <c r="H13" s="131">
        <f t="shared" si="6"/>
        <v>0</v>
      </c>
      <c r="I13" s="131">
        <f t="shared" si="6"/>
        <v>8.25</v>
      </c>
      <c r="J13" s="131">
        <f t="shared" si="6"/>
        <v>0</v>
      </c>
      <c r="K13" s="131">
        <f t="shared" si="6"/>
        <v>0</v>
      </c>
      <c r="L13" s="131">
        <f t="shared" si="6"/>
        <v>6.5</v>
      </c>
      <c r="M13" s="131">
        <f t="shared" si="6"/>
        <v>0</v>
      </c>
      <c r="N13" s="131">
        <f t="shared" si="6"/>
        <v>0</v>
      </c>
      <c r="O13" s="131">
        <f t="shared" si="6"/>
        <v>6.75</v>
      </c>
      <c r="P13" s="131">
        <f t="shared" si="6"/>
        <v>0</v>
      </c>
      <c r="Q13" s="131">
        <f t="shared" si="6"/>
        <v>0</v>
      </c>
      <c r="R13" s="131">
        <f t="shared" si="6"/>
        <v>6.5</v>
      </c>
      <c r="S13" s="131">
        <f t="shared" si="6"/>
        <v>0</v>
      </c>
      <c r="T13" s="131">
        <f t="shared" si="6"/>
        <v>0</v>
      </c>
      <c r="U13" s="131">
        <f t="shared" si="6"/>
        <v>3.75</v>
      </c>
      <c r="V13" s="131">
        <f t="shared" si="6"/>
        <v>0</v>
      </c>
      <c r="W13" s="131">
        <f t="shared" si="6"/>
        <v>0</v>
      </c>
      <c r="X13" s="131">
        <f t="shared" si="6"/>
        <v>6</v>
      </c>
      <c r="Y13" s="131">
        <f t="shared" si="6"/>
        <v>0</v>
      </c>
      <c r="Z13" s="131">
        <f t="shared" si="6"/>
        <v>0</v>
      </c>
      <c r="AA13" s="131">
        <f t="shared" si="6"/>
        <v>7.25</v>
      </c>
      <c r="AB13" s="131">
        <f t="shared" si="6"/>
        <v>0</v>
      </c>
      <c r="AC13" s="131">
        <f t="shared" si="6"/>
        <v>0</v>
      </c>
      <c r="AD13" s="131">
        <f t="shared" si="6"/>
        <v>7</v>
      </c>
      <c r="AE13" s="131">
        <f t="shared" si="6"/>
        <v>0</v>
      </c>
      <c r="AF13" s="131">
        <f t="shared" si="6"/>
        <v>0</v>
      </c>
      <c r="AG13" s="131">
        <f t="shared" si="6"/>
        <v>6.5</v>
      </c>
      <c r="AH13" s="131">
        <f t="shared" si="6"/>
        <v>0</v>
      </c>
      <c r="AI13" s="131">
        <f t="shared" si="6"/>
        <v>0</v>
      </c>
      <c r="AJ13" s="131">
        <f t="shared" si="6"/>
        <v>5.5</v>
      </c>
      <c r="AK13" s="131">
        <f t="shared" si="6"/>
        <v>0</v>
      </c>
      <c r="AL13" s="131">
        <f t="shared" si="6"/>
        <v>0</v>
      </c>
      <c r="AM13" s="131">
        <f t="shared" si="6"/>
        <v>4.75</v>
      </c>
      <c r="AN13" s="131">
        <f t="shared" si="6"/>
        <v>0</v>
      </c>
      <c r="AO13" s="131">
        <f t="shared" si="6"/>
        <v>0</v>
      </c>
      <c r="AP13" s="131">
        <f t="shared" si="6"/>
        <v>5.75</v>
      </c>
      <c r="AQ13" s="131">
        <f t="shared" si="6"/>
        <v>0</v>
      </c>
      <c r="AR13" s="131">
        <f t="shared" si="6"/>
        <v>0</v>
      </c>
      <c r="AS13" s="131">
        <f t="shared" si="6"/>
        <v>7.25</v>
      </c>
      <c r="AT13" s="131">
        <f t="shared" si="6"/>
        <v>0</v>
      </c>
      <c r="AU13" s="131">
        <f t="shared" si="6"/>
        <v>0</v>
      </c>
      <c r="AV13" s="131">
        <f t="shared" si="6"/>
        <v>4.25</v>
      </c>
      <c r="AW13" s="131">
        <f t="shared" si="6"/>
        <v>0</v>
      </c>
      <c r="AX13" s="131">
        <f t="shared" si="6"/>
        <v>0</v>
      </c>
      <c r="AY13" s="131">
        <f t="shared" si="6"/>
        <v>6.25</v>
      </c>
      <c r="AZ13" s="131">
        <f t="shared" si="6"/>
        <v>0</v>
      </c>
      <c r="BA13" s="131">
        <f t="shared" si="6"/>
        <v>0</v>
      </c>
      <c r="BB13" s="131">
        <f t="shared" si="6"/>
        <v>5.75</v>
      </c>
      <c r="BC13" s="131">
        <f t="shared" si="6"/>
        <v>0</v>
      </c>
      <c r="BD13" s="131">
        <f t="shared" si="6"/>
        <v>0</v>
      </c>
      <c r="BE13" s="131">
        <f t="shared" si="6"/>
        <v>6.5</v>
      </c>
      <c r="BF13" s="131">
        <f t="shared" si="6"/>
        <v>0</v>
      </c>
      <c r="BG13" s="131">
        <f t="shared" si="6"/>
        <v>0</v>
      </c>
      <c r="BH13" s="131">
        <f t="shared" si="6"/>
        <v>3.75</v>
      </c>
      <c r="BI13" s="131">
        <f t="shared" si="6"/>
        <v>0</v>
      </c>
      <c r="BJ13" s="131">
        <f t="shared" si="6"/>
        <v>0</v>
      </c>
      <c r="BK13" s="131">
        <f t="shared" si="6"/>
        <v>3</v>
      </c>
      <c r="BL13" s="131">
        <f t="shared" si="6"/>
        <v>0</v>
      </c>
      <c r="BM13" s="131">
        <f t="shared" si="6"/>
        <v>0</v>
      </c>
      <c r="BN13" s="131">
        <f t="shared" si="6"/>
        <v>3.5</v>
      </c>
      <c r="BO13" s="131">
        <f t="shared" ref="BO13:CZ13" si="7">SUM(BO14:BO21)</f>
        <v>0</v>
      </c>
      <c r="BP13" s="131">
        <f t="shared" si="7"/>
        <v>0</v>
      </c>
      <c r="BQ13" s="131">
        <f t="shared" si="7"/>
        <v>5.25</v>
      </c>
      <c r="BR13" s="131">
        <f t="shared" si="7"/>
        <v>0</v>
      </c>
      <c r="BS13" s="131">
        <f t="shared" si="7"/>
        <v>0</v>
      </c>
      <c r="BT13" s="131">
        <f t="shared" si="7"/>
        <v>4.25</v>
      </c>
      <c r="BU13" s="131">
        <f t="shared" si="7"/>
        <v>0</v>
      </c>
      <c r="BV13" s="131">
        <f t="shared" si="7"/>
        <v>0</v>
      </c>
      <c r="BW13" s="131">
        <f t="shared" si="7"/>
        <v>3.5</v>
      </c>
      <c r="BX13" s="131">
        <f t="shared" si="7"/>
        <v>0</v>
      </c>
      <c r="BY13" s="131">
        <f t="shared" si="7"/>
        <v>0</v>
      </c>
      <c r="BZ13" s="131">
        <f t="shared" si="7"/>
        <v>5.25</v>
      </c>
      <c r="CA13" s="131">
        <f t="shared" si="7"/>
        <v>0</v>
      </c>
      <c r="CB13" s="131">
        <f t="shared" si="7"/>
        <v>0</v>
      </c>
      <c r="CC13" s="131">
        <f t="shared" si="7"/>
        <v>3.5</v>
      </c>
      <c r="CD13" s="131">
        <f t="shared" si="7"/>
        <v>0</v>
      </c>
      <c r="CE13" s="131">
        <f t="shared" si="7"/>
        <v>0</v>
      </c>
      <c r="CF13" s="131">
        <f t="shared" si="7"/>
        <v>1.75</v>
      </c>
      <c r="CG13" s="131">
        <f t="shared" si="7"/>
        <v>0</v>
      </c>
      <c r="CH13" s="131">
        <f t="shared" si="7"/>
        <v>0</v>
      </c>
      <c r="CI13" s="131">
        <f t="shared" si="7"/>
        <v>2.75</v>
      </c>
      <c r="CJ13" s="131">
        <f t="shared" si="7"/>
        <v>0</v>
      </c>
      <c r="CK13" s="131">
        <f t="shared" si="7"/>
        <v>0</v>
      </c>
      <c r="CL13" s="131">
        <f t="shared" si="7"/>
        <v>2</v>
      </c>
      <c r="CM13" s="131">
        <f t="shared" si="7"/>
        <v>0</v>
      </c>
      <c r="CN13" s="131">
        <f t="shared" si="7"/>
        <v>0</v>
      </c>
      <c r="CO13" s="131">
        <f t="shared" si="7"/>
        <v>2.75</v>
      </c>
      <c r="CP13" s="131">
        <f t="shared" si="7"/>
        <v>0</v>
      </c>
      <c r="CQ13" s="131">
        <f t="shared" si="7"/>
        <v>0</v>
      </c>
      <c r="CR13" s="131">
        <f t="shared" si="7"/>
        <v>0.5</v>
      </c>
      <c r="CS13" s="131">
        <f t="shared" si="7"/>
        <v>0</v>
      </c>
      <c r="CT13" s="131">
        <f t="shared" si="7"/>
        <v>0</v>
      </c>
      <c r="CU13" s="131">
        <f t="shared" si="7"/>
        <v>0.75</v>
      </c>
      <c r="CV13" s="131">
        <f t="shared" si="7"/>
        <v>0</v>
      </c>
      <c r="CW13" s="131">
        <f t="shared" si="7"/>
        <v>0</v>
      </c>
      <c r="CX13" s="131">
        <f t="shared" si="7"/>
        <v>1.5</v>
      </c>
      <c r="CY13" s="131">
        <f t="shared" si="7"/>
        <v>0</v>
      </c>
      <c r="CZ13" s="131">
        <f t="shared" si="7"/>
        <v>0</v>
      </c>
    </row>
    <row r="14" spans="1:104" ht="39" customHeight="1" thickBot="1">
      <c r="A14" s="133" t="s">
        <v>328</v>
      </c>
      <c r="B14" s="149">
        <v>2</v>
      </c>
      <c r="C14" s="135">
        <v>2</v>
      </c>
      <c r="D14" s="150" t="s">
        <v>329</v>
      </c>
      <c r="E14" s="137" t="s">
        <v>330</v>
      </c>
      <c r="F14" s="135">
        <v>2</v>
      </c>
      <c r="G14" s="150" t="s">
        <v>331</v>
      </c>
      <c r="H14" s="140" t="s">
        <v>332</v>
      </c>
      <c r="I14" s="135">
        <v>2</v>
      </c>
      <c r="J14" s="150" t="s">
        <v>333</v>
      </c>
      <c r="K14" s="140" t="s">
        <v>812</v>
      </c>
      <c r="L14" s="135">
        <v>2</v>
      </c>
      <c r="M14" s="150" t="s">
        <v>334</v>
      </c>
      <c r="N14" s="137" t="s">
        <v>335</v>
      </c>
      <c r="O14" s="135">
        <v>2</v>
      </c>
      <c r="P14" s="150" t="s">
        <v>336</v>
      </c>
      <c r="Q14" s="138" t="s">
        <v>337</v>
      </c>
      <c r="R14" s="135">
        <v>2</v>
      </c>
      <c r="S14" s="150" t="s">
        <v>338</v>
      </c>
      <c r="T14" s="140" t="s">
        <v>339</v>
      </c>
      <c r="U14" s="135">
        <v>0</v>
      </c>
      <c r="V14" s="141" t="s">
        <v>869</v>
      </c>
      <c r="W14" s="141" t="s">
        <v>869</v>
      </c>
      <c r="X14" s="135">
        <v>2</v>
      </c>
      <c r="Y14" s="150" t="s">
        <v>340</v>
      </c>
      <c r="Z14" s="138" t="s">
        <v>284</v>
      </c>
      <c r="AA14" s="135">
        <v>2</v>
      </c>
      <c r="AB14" s="151" t="s">
        <v>341</v>
      </c>
      <c r="AC14" s="140" t="s">
        <v>342</v>
      </c>
      <c r="AD14" s="135">
        <v>2</v>
      </c>
      <c r="AE14" s="150" t="s">
        <v>343</v>
      </c>
      <c r="AF14" s="138" t="s">
        <v>344</v>
      </c>
      <c r="AG14" s="135">
        <v>1</v>
      </c>
      <c r="AH14" s="150" t="s">
        <v>345</v>
      </c>
      <c r="AI14" s="140" t="s">
        <v>346</v>
      </c>
      <c r="AJ14" s="135">
        <v>2</v>
      </c>
      <c r="AK14" s="150" t="s">
        <v>347</v>
      </c>
      <c r="AL14" s="137" t="s">
        <v>348</v>
      </c>
      <c r="AM14" s="135">
        <v>0.5</v>
      </c>
      <c r="AN14" s="150" t="s">
        <v>349</v>
      </c>
      <c r="AO14" s="137" t="s">
        <v>350</v>
      </c>
      <c r="AP14" s="135">
        <v>1</v>
      </c>
      <c r="AQ14" s="150" t="s">
        <v>1039</v>
      </c>
      <c r="AR14" s="137" t="s">
        <v>1040</v>
      </c>
      <c r="AS14" s="135">
        <v>2</v>
      </c>
      <c r="AT14" s="151" t="s">
        <v>1041</v>
      </c>
      <c r="AU14" s="137" t="s">
        <v>1042</v>
      </c>
      <c r="AV14" s="135">
        <v>1</v>
      </c>
      <c r="AW14" s="150" t="s">
        <v>1043</v>
      </c>
      <c r="AX14" s="140" t="s">
        <v>838</v>
      </c>
      <c r="AY14" s="135">
        <v>2</v>
      </c>
      <c r="AZ14" s="150" t="s">
        <v>1044</v>
      </c>
      <c r="BA14" s="138" t="s">
        <v>1045</v>
      </c>
      <c r="BB14" s="135">
        <v>2</v>
      </c>
      <c r="BC14" s="150" t="s">
        <v>1046</v>
      </c>
      <c r="BD14" s="138" t="s">
        <v>290</v>
      </c>
      <c r="BE14" s="135">
        <v>2</v>
      </c>
      <c r="BF14" s="150" t="s">
        <v>1047</v>
      </c>
      <c r="BG14" s="137" t="s">
        <v>1048</v>
      </c>
      <c r="BH14" s="135">
        <v>1</v>
      </c>
      <c r="BI14" s="150" t="s">
        <v>1049</v>
      </c>
      <c r="BJ14" s="138" t="s">
        <v>291</v>
      </c>
      <c r="BK14" s="135">
        <v>0</v>
      </c>
      <c r="BL14" s="141" t="s">
        <v>869</v>
      </c>
      <c r="BM14" s="141" t="s">
        <v>869</v>
      </c>
      <c r="BN14" s="135">
        <v>2</v>
      </c>
      <c r="BO14" s="150" t="s">
        <v>1050</v>
      </c>
      <c r="BP14" s="138" t="s">
        <v>848</v>
      </c>
      <c r="BQ14" s="135">
        <v>1</v>
      </c>
      <c r="BR14" s="150" t="s">
        <v>1051</v>
      </c>
      <c r="BS14" s="137" t="s">
        <v>287</v>
      </c>
      <c r="BT14" s="135">
        <v>1</v>
      </c>
      <c r="BU14" s="150" t="s">
        <v>1052</v>
      </c>
      <c r="BV14" s="137" t="s">
        <v>292</v>
      </c>
      <c r="BW14" s="135">
        <v>1</v>
      </c>
      <c r="BX14" s="150" t="s">
        <v>1053</v>
      </c>
      <c r="BY14" s="137" t="s">
        <v>1054</v>
      </c>
      <c r="BZ14" s="135">
        <v>2</v>
      </c>
      <c r="CA14" s="150" t="s">
        <v>1055</v>
      </c>
      <c r="CB14" s="140" t="s">
        <v>856</v>
      </c>
      <c r="CC14" s="135">
        <v>2</v>
      </c>
      <c r="CD14" s="136" t="s">
        <v>1056</v>
      </c>
      <c r="CE14" s="140" t="s">
        <v>1057</v>
      </c>
      <c r="CF14" s="135">
        <v>0</v>
      </c>
      <c r="CG14" s="141" t="s">
        <v>869</v>
      </c>
      <c r="CH14" s="141" t="s">
        <v>869</v>
      </c>
      <c r="CI14" s="135">
        <v>0</v>
      </c>
      <c r="CJ14" s="141" t="s">
        <v>869</v>
      </c>
      <c r="CK14" s="141" t="s">
        <v>869</v>
      </c>
      <c r="CL14" s="135">
        <v>1</v>
      </c>
      <c r="CM14" s="150" t="s">
        <v>1058</v>
      </c>
      <c r="CN14" s="140" t="s">
        <v>1059</v>
      </c>
      <c r="CO14" s="135">
        <v>0</v>
      </c>
      <c r="CP14" s="141" t="s">
        <v>869</v>
      </c>
      <c r="CQ14" s="141" t="s">
        <v>869</v>
      </c>
      <c r="CR14" s="135">
        <v>0</v>
      </c>
      <c r="CS14" s="141" t="s">
        <v>869</v>
      </c>
      <c r="CT14" s="141" t="s">
        <v>869</v>
      </c>
      <c r="CU14" s="135">
        <v>0</v>
      </c>
      <c r="CV14" s="141" t="s">
        <v>869</v>
      </c>
      <c r="CW14" s="141" t="s">
        <v>869</v>
      </c>
      <c r="CX14" s="135">
        <v>0</v>
      </c>
      <c r="CY14" s="141" t="s">
        <v>869</v>
      </c>
      <c r="CZ14" s="141" t="s">
        <v>869</v>
      </c>
    </row>
    <row r="15" spans="1:104">
      <c r="A15" s="133" t="s">
        <v>622</v>
      </c>
      <c r="B15" s="134">
        <v>1.5</v>
      </c>
      <c r="C15" s="134">
        <v>1.5</v>
      </c>
      <c r="D15" s="134">
        <v>0</v>
      </c>
      <c r="E15" s="134">
        <v>0</v>
      </c>
      <c r="F15" s="134">
        <v>1.5</v>
      </c>
      <c r="G15" s="134">
        <v>0</v>
      </c>
      <c r="H15" s="134">
        <v>0</v>
      </c>
      <c r="I15" s="134">
        <v>1</v>
      </c>
      <c r="J15" s="134">
        <v>0</v>
      </c>
      <c r="K15" s="134">
        <v>0</v>
      </c>
      <c r="L15" s="134">
        <v>1</v>
      </c>
      <c r="M15" s="134">
        <v>0</v>
      </c>
      <c r="N15" s="134">
        <v>0</v>
      </c>
      <c r="O15" s="134">
        <v>0</v>
      </c>
      <c r="P15" s="134">
        <v>0</v>
      </c>
      <c r="Q15" s="134">
        <v>0</v>
      </c>
      <c r="R15" s="134">
        <v>1</v>
      </c>
      <c r="S15" s="134">
        <v>0</v>
      </c>
      <c r="T15" s="134">
        <v>0</v>
      </c>
      <c r="U15" s="134">
        <v>1</v>
      </c>
      <c r="V15" s="134">
        <v>0</v>
      </c>
      <c r="W15" s="134">
        <v>0</v>
      </c>
      <c r="X15" s="134">
        <v>1</v>
      </c>
      <c r="Y15" s="134">
        <v>0</v>
      </c>
      <c r="Z15" s="134">
        <v>0</v>
      </c>
      <c r="AA15" s="134">
        <v>1</v>
      </c>
      <c r="AB15" s="134">
        <v>0</v>
      </c>
      <c r="AC15" s="134">
        <v>0</v>
      </c>
      <c r="AD15" s="134">
        <v>1</v>
      </c>
      <c r="AE15" s="134">
        <v>0</v>
      </c>
      <c r="AF15" s="134">
        <v>0</v>
      </c>
      <c r="AG15" s="134">
        <v>1.5</v>
      </c>
      <c r="AH15" s="134">
        <v>0</v>
      </c>
      <c r="AI15" s="134">
        <v>0</v>
      </c>
      <c r="AJ15" s="134">
        <v>1</v>
      </c>
      <c r="AK15" s="134">
        <v>0</v>
      </c>
      <c r="AL15" s="134">
        <v>0</v>
      </c>
      <c r="AM15" s="134">
        <v>1</v>
      </c>
      <c r="AN15" s="134">
        <v>0</v>
      </c>
      <c r="AO15" s="134">
        <v>0</v>
      </c>
      <c r="AP15" s="134">
        <v>1</v>
      </c>
      <c r="AQ15" s="134">
        <v>0</v>
      </c>
      <c r="AR15" s="134">
        <v>0</v>
      </c>
      <c r="AS15" s="134">
        <v>0.5</v>
      </c>
      <c r="AT15" s="134">
        <v>0</v>
      </c>
      <c r="AU15" s="134">
        <v>0</v>
      </c>
      <c r="AV15" s="134">
        <v>0</v>
      </c>
      <c r="AW15" s="134">
        <v>0</v>
      </c>
      <c r="AX15" s="134">
        <v>0</v>
      </c>
      <c r="AY15" s="134">
        <v>1</v>
      </c>
      <c r="AZ15" s="134">
        <v>0</v>
      </c>
      <c r="BA15" s="134">
        <v>0</v>
      </c>
      <c r="BB15" s="134">
        <v>0</v>
      </c>
      <c r="BC15" s="134">
        <v>0</v>
      </c>
      <c r="BD15" s="134">
        <v>0</v>
      </c>
      <c r="BE15" s="134">
        <v>0.5</v>
      </c>
      <c r="BF15" s="134">
        <v>0</v>
      </c>
      <c r="BG15" s="134">
        <v>0</v>
      </c>
      <c r="BH15" s="134">
        <v>0</v>
      </c>
      <c r="BI15" s="134">
        <v>0</v>
      </c>
      <c r="BJ15" s="134">
        <v>0</v>
      </c>
      <c r="BK15" s="134">
        <v>0.5</v>
      </c>
      <c r="BL15" s="134">
        <v>0</v>
      </c>
      <c r="BM15" s="134">
        <v>0</v>
      </c>
      <c r="BN15" s="134">
        <v>0.5</v>
      </c>
      <c r="BO15" s="134">
        <v>0</v>
      </c>
      <c r="BP15" s="134">
        <v>0</v>
      </c>
      <c r="BQ15" s="134">
        <v>1</v>
      </c>
      <c r="BR15" s="134">
        <v>0</v>
      </c>
      <c r="BS15" s="134">
        <v>0</v>
      </c>
      <c r="BT15" s="134">
        <v>1</v>
      </c>
      <c r="BU15" s="134">
        <v>0</v>
      </c>
      <c r="BV15" s="134">
        <v>0</v>
      </c>
      <c r="BW15" s="134">
        <v>0.5</v>
      </c>
      <c r="BX15" s="134">
        <v>0</v>
      </c>
      <c r="BY15" s="134">
        <v>0</v>
      </c>
      <c r="BZ15" s="134">
        <v>0.5</v>
      </c>
      <c r="CA15" s="134">
        <v>0</v>
      </c>
      <c r="CB15" s="134">
        <v>0</v>
      </c>
      <c r="CC15" s="134">
        <v>0</v>
      </c>
      <c r="CD15" s="134">
        <v>0</v>
      </c>
      <c r="CE15" s="134">
        <v>0</v>
      </c>
      <c r="CF15" s="134">
        <v>0</v>
      </c>
      <c r="CG15" s="134">
        <v>0</v>
      </c>
      <c r="CH15" s="134">
        <v>0</v>
      </c>
      <c r="CI15" s="134">
        <v>0</v>
      </c>
      <c r="CJ15" s="134">
        <v>0</v>
      </c>
      <c r="CK15" s="134">
        <v>0</v>
      </c>
      <c r="CL15" s="134">
        <v>0</v>
      </c>
      <c r="CM15" s="134">
        <v>0</v>
      </c>
      <c r="CN15" s="134">
        <v>0</v>
      </c>
      <c r="CO15" s="134">
        <v>0</v>
      </c>
      <c r="CP15" s="134">
        <v>0</v>
      </c>
      <c r="CQ15" s="134">
        <v>0</v>
      </c>
      <c r="CR15" s="134">
        <v>0</v>
      </c>
      <c r="CS15" s="134">
        <v>0</v>
      </c>
      <c r="CT15" s="134">
        <v>0</v>
      </c>
      <c r="CU15" s="134">
        <v>0</v>
      </c>
      <c r="CV15" s="134">
        <v>0</v>
      </c>
      <c r="CW15" s="134">
        <v>0</v>
      </c>
      <c r="CX15" s="134">
        <v>0</v>
      </c>
      <c r="CY15" s="134">
        <v>0</v>
      </c>
      <c r="CZ15" s="134">
        <v>0</v>
      </c>
    </row>
    <row r="16" spans="1:104">
      <c r="A16" s="133" t="s">
        <v>1062</v>
      </c>
      <c r="B16" s="134">
        <v>0.5</v>
      </c>
      <c r="C16" s="135">
        <v>0</v>
      </c>
      <c r="D16" s="141" t="s">
        <v>869</v>
      </c>
      <c r="E16" s="141" t="s">
        <v>869</v>
      </c>
      <c r="F16" s="135">
        <v>0.25</v>
      </c>
      <c r="G16" s="136" t="s">
        <v>1063</v>
      </c>
      <c r="H16" s="135" t="s">
        <v>810</v>
      </c>
      <c r="I16" s="135">
        <v>0.5</v>
      </c>
      <c r="J16" s="136" t="s">
        <v>1064</v>
      </c>
      <c r="K16" s="137" t="s">
        <v>812</v>
      </c>
      <c r="L16" s="135">
        <v>0</v>
      </c>
      <c r="M16" s="141" t="s">
        <v>869</v>
      </c>
      <c r="N16" s="141" t="s">
        <v>869</v>
      </c>
      <c r="O16" s="135">
        <v>0.25</v>
      </c>
      <c r="P16" s="136" t="s">
        <v>1065</v>
      </c>
      <c r="Q16" s="135" t="s">
        <v>816</v>
      </c>
      <c r="R16" s="135">
        <v>0.25</v>
      </c>
      <c r="S16" s="136" t="s">
        <v>1066</v>
      </c>
      <c r="T16" s="137" t="s">
        <v>1067</v>
      </c>
      <c r="U16" s="135">
        <v>0.5</v>
      </c>
      <c r="V16" s="136" t="s">
        <v>1068</v>
      </c>
      <c r="W16" s="137" t="s">
        <v>873</v>
      </c>
      <c r="X16" s="135">
        <v>0</v>
      </c>
      <c r="Y16" s="141" t="s">
        <v>869</v>
      </c>
      <c r="Z16" s="141" t="s">
        <v>869</v>
      </c>
      <c r="AA16" s="135">
        <v>0</v>
      </c>
      <c r="AB16" s="141" t="s">
        <v>869</v>
      </c>
      <c r="AC16" s="141" t="s">
        <v>869</v>
      </c>
      <c r="AD16" s="135">
        <v>0.5</v>
      </c>
      <c r="AE16" s="136" t="s">
        <v>1069</v>
      </c>
      <c r="AF16" s="135" t="s">
        <v>826</v>
      </c>
      <c r="AG16" s="135">
        <v>0.5</v>
      </c>
      <c r="AH16" s="136" t="s">
        <v>1070</v>
      </c>
      <c r="AI16" s="135" t="s">
        <v>828</v>
      </c>
      <c r="AJ16" s="135">
        <v>0.5</v>
      </c>
      <c r="AK16" s="136" t="s">
        <v>1071</v>
      </c>
      <c r="AL16" s="135" t="s">
        <v>830</v>
      </c>
      <c r="AM16" s="135">
        <v>0</v>
      </c>
      <c r="AN16" s="141" t="s">
        <v>869</v>
      </c>
      <c r="AO16" s="141" t="s">
        <v>869</v>
      </c>
      <c r="AP16" s="135">
        <v>0.5</v>
      </c>
      <c r="AQ16" s="136" t="s">
        <v>1072</v>
      </c>
      <c r="AR16" s="135" t="s">
        <v>834</v>
      </c>
      <c r="AS16" s="135">
        <v>0.5</v>
      </c>
      <c r="AT16" s="136" t="s">
        <v>1073</v>
      </c>
      <c r="AU16" s="135" t="s">
        <v>836</v>
      </c>
      <c r="AV16" s="135">
        <v>0.5</v>
      </c>
      <c r="AW16" s="136" t="s">
        <v>1074</v>
      </c>
      <c r="AX16" s="137" t="s">
        <v>838</v>
      </c>
      <c r="AY16" s="135">
        <v>0</v>
      </c>
      <c r="AZ16" s="141" t="s">
        <v>869</v>
      </c>
      <c r="BA16" s="141" t="s">
        <v>869</v>
      </c>
      <c r="BB16" s="135">
        <v>0</v>
      </c>
      <c r="BC16" s="141" t="s">
        <v>869</v>
      </c>
      <c r="BD16" s="141" t="s">
        <v>869</v>
      </c>
      <c r="BE16" s="135">
        <v>0.25</v>
      </c>
      <c r="BF16" s="136" t="s">
        <v>1075</v>
      </c>
      <c r="BG16" s="135" t="s">
        <v>808</v>
      </c>
      <c r="BH16" s="135">
        <v>0</v>
      </c>
      <c r="BI16" s="141" t="s">
        <v>869</v>
      </c>
      <c r="BJ16" s="141" t="s">
        <v>869</v>
      </c>
      <c r="BK16" s="135">
        <v>0</v>
      </c>
      <c r="BL16" s="141" t="s">
        <v>869</v>
      </c>
      <c r="BM16" s="141" t="s">
        <v>869</v>
      </c>
      <c r="BN16" s="135">
        <v>0</v>
      </c>
      <c r="BO16" s="141" t="s">
        <v>869</v>
      </c>
      <c r="BP16" s="141" t="s">
        <v>869</v>
      </c>
      <c r="BQ16" s="135">
        <v>0</v>
      </c>
      <c r="BR16" s="141" t="s">
        <v>869</v>
      </c>
      <c r="BS16" s="141" t="s">
        <v>869</v>
      </c>
      <c r="BT16" s="135">
        <v>0.25</v>
      </c>
      <c r="BU16" s="139" t="s">
        <v>1076</v>
      </c>
      <c r="BV16" s="135" t="s">
        <v>852</v>
      </c>
      <c r="BW16" s="135">
        <v>0</v>
      </c>
      <c r="BX16" s="141" t="s">
        <v>869</v>
      </c>
      <c r="BY16" s="141" t="s">
        <v>869</v>
      </c>
      <c r="BZ16" s="135">
        <v>0</v>
      </c>
      <c r="CA16" s="141" t="s">
        <v>869</v>
      </c>
      <c r="CB16" s="141" t="s">
        <v>869</v>
      </c>
      <c r="CC16" s="135">
        <v>0</v>
      </c>
      <c r="CD16" s="141" t="s">
        <v>869</v>
      </c>
      <c r="CE16" s="141" t="s">
        <v>869</v>
      </c>
      <c r="CF16" s="135">
        <v>0</v>
      </c>
      <c r="CG16" s="141" t="s">
        <v>869</v>
      </c>
      <c r="CH16" s="141" t="s">
        <v>869</v>
      </c>
      <c r="CI16" s="135">
        <v>0</v>
      </c>
      <c r="CJ16" s="141" t="s">
        <v>869</v>
      </c>
      <c r="CK16" s="141" t="s">
        <v>869</v>
      </c>
      <c r="CL16" s="135">
        <v>0</v>
      </c>
      <c r="CM16" s="141" t="s">
        <v>869</v>
      </c>
      <c r="CN16" s="141" t="s">
        <v>869</v>
      </c>
      <c r="CO16" s="135">
        <v>0</v>
      </c>
      <c r="CP16" s="141" t="s">
        <v>869</v>
      </c>
      <c r="CQ16" s="141" t="s">
        <v>869</v>
      </c>
      <c r="CR16" s="135">
        <v>0</v>
      </c>
      <c r="CS16" s="141" t="s">
        <v>869</v>
      </c>
      <c r="CT16" s="141" t="s">
        <v>869</v>
      </c>
      <c r="CU16" s="135">
        <v>0</v>
      </c>
      <c r="CV16" s="141" t="s">
        <v>869</v>
      </c>
      <c r="CW16" s="141" t="s">
        <v>869</v>
      </c>
      <c r="CX16" s="135">
        <v>0</v>
      </c>
      <c r="CY16" s="141" t="s">
        <v>869</v>
      </c>
      <c r="CZ16" s="141" t="s">
        <v>869</v>
      </c>
    </row>
    <row r="17" spans="1:104">
      <c r="A17" s="133" t="s">
        <v>1077</v>
      </c>
      <c r="B17" s="134">
        <v>0.5</v>
      </c>
      <c r="C17" s="135">
        <v>0.5</v>
      </c>
      <c r="D17" s="136" t="s">
        <v>1078</v>
      </c>
      <c r="E17" s="135" t="s">
        <v>808</v>
      </c>
      <c r="F17" s="135">
        <v>0.5</v>
      </c>
      <c r="G17" s="136" t="s">
        <v>1079</v>
      </c>
      <c r="H17" s="135" t="s">
        <v>810</v>
      </c>
      <c r="I17" s="135">
        <v>0.5</v>
      </c>
      <c r="J17" s="136" t="s">
        <v>1080</v>
      </c>
      <c r="K17" s="137" t="s">
        <v>1081</v>
      </c>
      <c r="L17" s="135">
        <v>0</v>
      </c>
      <c r="M17" s="141" t="s">
        <v>869</v>
      </c>
      <c r="N17" s="141" t="s">
        <v>869</v>
      </c>
      <c r="O17" s="135">
        <v>0</v>
      </c>
      <c r="P17" s="141" t="s">
        <v>869</v>
      </c>
      <c r="Q17" s="141" t="s">
        <v>869</v>
      </c>
      <c r="R17" s="135">
        <v>0.5</v>
      </c>
      <c r="S17" s="136" t="s">
        <v>1082</v>
      </c>
      <c r="T17" s="137" t="s">
        <v>1083</v>
      </c>
      <c r="U17" s="135">
        <v>0</v>
      </c>
      <c r="V17" s="141" t="s">
        <v>869</v>
      </c>
      <c r="W17" s="141" t="s">
        <v>869</v>
      </c>
      <c r="X17" s="135">
        <v>0.5</v>
      </c>
      <c r="Y17" s="136" t="s">
        <v>1084</v>
      </c>
      <c r="Z17" s="137" t="s">
        <v>1085</v>
      </c>
      <c r="AA17" s="135">
        <v>0.5</v>
      </c>
      <c r="AB17" s="136" t="s">
        <v>1086</v>
      </c>
      <c r="AC17" s="135" t="s">
        <v>824</v>
      </c>
      <c r="AD17" s="135">
        <v>0.5</v>
      </c>
      <c r="AE17" s="136" t="s">
        <v>1087</v>
      </c>
      <c r="AF17" s="137" t="s">
        <v>285</v>
      </c>
      <c r="AG17" s="135">
        <v>0.5</v>
      </c>
      <c r="AH17" s="136" t="s">
        <v>1088</v>
      </c>
      <c r="AI17" s="140" t="s">
        <v>286</v>
      </c>
      <c r="AJ17" s="135">
        <v>0</v>
      </c>
      <c r="AK17" s="141" t="s">
        <v>869</v>
      </c>
      <c r="AL17" s="141" t="s">
        <v>869</v>
      </c>
      <c r="AM17" s="135">
        <v>0</v>
      </c>
      <c r="AN17" s="141" t="s">
        <v>869</v>
      </c>
      <c r="AO17" s="141" t="s">
        <v>869</v>
      </c>
      <c r="AP17" s="135">
        <v>0.5</v>
      </c>
      <c r="AQ17" s="136" t="s">
        <v>1089</v>
      </c>
      <c r="AR17" s="137" t="s">
        <v>1090</v>
      </c>
      <c r="AS17" s="135">
        <v>0</v>
      </c>
      <c r="AT17" s="141" t="s">
        <v>869</v>
      </c>
      <c r="AU17" s="141" t="s">
        <v>869</v>
      </c>
      <c r="AV17" s="135">
        <v>0.5</v>
      </c>
      <c r="AW17" s="136" t="s">
        <v>1091</v>
      </c>
      <c r="AX17" s="135" t="s">
        <v>866</v>
      </c>
      <c r="AY17" s="135">
        <v>0.5</v>
      </c>
      <c r="AZ17" s="136" t="s">
        <v>1092</v>
      </c>
      <c r="BA17" s="135" t="s">
        <v>840</v>
      </c>
      <c r="BB17" s="135">
        <v>0</v>
      </c>
      <c r="BC17" s="141" t="s">
        <v>869</v>
      </c>
      <c r="BD17" s="141" t="s">
        <v>869</v>
      </c>
      <c r="BE17" s="135">
        <v>0.5</v>
      </c>
      <c r="BF17" s="136" t="s">
        <v>1093</v>
      </c>
      <c r="BG17" s="140" t="s">
        <v>1094</v>
      </c>
      <c r="BH17" s="135">
        <v>0.5</v>
      </c>
      <c r="BI17" s="136" t="s">
        <v>1095</v>
      </c>
      <c r="BJ17" s="137" t="s">
        <v>1096</v>
      </c>
      <c r="BK17" s="135">
        <v>0</v>
      </c>
      <c r="BL17" s="141" t="s">
        <v>869</v>
      </c>
      <c r="BM17" s="141" t="s">
        <v>869</v>
      </c>
      <c r="BN17" s="135">
        <v>0</v>
      </c>
      <c r="BO17" s="141" t="s">
        <v>869</v>
      </c>
      <c r="BP17" s="141" t="s">
        <v>869</v>
      </c>
      <c r="BQ17" s="135">
        <v>0</v>
      </c>
      <c r="BR17" s="141" t="s">
        <v>869</v>
      </c>
      <c r="BS17" s="141" t="s">
        <v>869</v>
      </c>
      <c r="BT17" s="135">
        <v>0</v>
      </c>
      <c r="BU17" s="141" t="s">
        <v>869</v>
      </c>
      <c r="BV17" s="141" t="s">
        <v>869</v>
      </c>
      <c r="BW17" s="135">
        <v>0.5</v>
      </c>
      <c r="BX17" s="136" t="s">
        <v>1097</v>
      </c>
      <c r="BY17" s="135" t="s">
        <v>1098</v>
      </c>
      <c r="BZ17" s="135">
        <v>0</v>
      </c>
      <c r="CA17" s="141" t="s">
        <v>869</v>
      </c>
      <c r="CB17" s="141" t="s">
        <v>869</v>
      </c>
      <c r="CC17" s="135">
        <v>0</v>
      </c>
      <c r="CD17" s="141" t="s">
        <v>869</v>
      </c>
      <c r="CE17" s="141" t="s">
        <v>869</v>
      </c>
      <c r="CF17" s="135">
        <v>0</v>
      </c>
      <c r="CG17" s="141" t="s">
        <v>869</v>
      </c>
      <c r="CH17" s="141" t="s">
        <v>869</v>
      </c>
      <c r="CI17" s="135">
        <v>0.5</v>
      </c>
      <c r="CJ17" s="136" t="s">
        <v>1099</v>
      </c>
      <c r="CK17" s="135" t="s">
        <v>1100</v>
      </c>
      <c r="CL17" s="135">
        <v>0</v>
      </c>
      <c r="CM17" s="141" t="s">
        <v>869</v>
      </c>
      <c r="CN17" s="141" t="s">
        <v>869</v>
      </c>
      <c r="CO17" s="135">
        <v>0.5</v>
      </c>
      <c r="CP17" s="136" t="s">
        <v>1101</v>
      </c>
      <c r="CQ17" s="137" t="s">
        <v>281</v>
      </c>
      <c r="CR17" s="135">
        <v>0</v>
      </c>
      <c r="CS17" s="141" t="s">
        <v>869</v>
      </c>
      <c r="CT17" s="141" t="s">
        <v>869</v>
      </c>
      <c r="CU17" s="135">
        <v>0</v>
      </c>
      <c r="CV17" s="141" t="s">
        <v>869</v>
      </c>
      <c r="CW17" s="141" t="s">
        <v>869</v>
      </c>
      <c r="CX17" s="135">
        <v>0</v>
      </c>
      <c r="CY17" s="141" t="s">
        <v>869</v>
      </c>
      <c r="CZ17" s="141" t="s">
        <v>869</v>
      </c>
    </row>
    <row r="18" spans="1:104">
      <c r="A18" s="133" t="s">
        <v>1106</v>
      </c>
      <c r="B18" s="134">
        <v>2</v>
      </c>
      <c r="C18" s="134">
        <v>1.75</v>
      </c>
      <c r="D18" s="134">
        <v>0</v>
      </c>
      <c r="E18" s="134">
        <v>0</v>
      </c>
      <c r="F18" s="134">
        <v>1.75</v>
      </c>
      <c r="G18" s="134">
        <v>0</v>
      </c>
      <c r="H18" s="134">
        <v>0</v>
      </c>
      <c r="I18" s="134">
        <v>2</v>
      </c>
      <c r="J18" s="134">
        <v>0</v>
      </c>
      <c r="K18" s="134">
        <v>0</v>
      </c>
      <c r="L18" s="134">
        <v>2</v>
      </c>
      <c r="M18" s="134">
        <v>0</v>
      </c>
      <c r="N18" s="134">
        <v>0</v>
      </c>
      <c r="O18" s="134">
        <v>2</v>
      </c>
      <c r="P18" s="134">
        <v>0</v>
      </c>
      <c r="Q18" s="134">
        <v>0</v>
      </c>
      <c r="R18" s="134">
        <v>1.75</v>
      </c>
      <c r="S18" s="134">
        <v>0</v>
      </c>
      <c r="T18" s="134">
        <v>0</v>
      </c>
      <c r="U18" s="134">
        <v>0.75</v>
      </c>
      <c r="V18" s="134">
        <v>0</v>
      </c>
      <c r="W18" s="134">
        <v>0</v>
      </c>
      <c r="X18" s="134">
        <v>2</v>
      </c>
      <c r="Y18" s="134">
        <v>0</v>
      </c>
      <c r="Z18" s="134">
        <v>0</v>
      </c>
      <c r="AA18" s="134">
        <v>1.5</v>
      </c>
      <c r="AB18" s="134">
        <v>0</v>
      </c>
      <c r="AC18" s="134">
        <v>0</v>
      </c>
      <c r="AD18" s="134">
        <v>1.75</v>
      </c>
      <c r="AE18" s="134">
        <v>0</v>
      </c>
      <c r="AF18" s="134">
        <v>0</v>
      </c>
      <c r="AG18" s="134">
        <v>1.5</v>
      </c>
      <c r="AH18" s="134">
        <v>0</v>
      </c>
      <c r="AI18" s="134">
        <v>0</v>
      </c>
      <c r="AJ18" s="134">
        <v>0.75</v>
      </c>
      <c r="AK18" s="134">
        <v>0</v>
      </c>
      <c r="AL18" s="134">
        <v>0</v>
      </c>
      <c r="AM18" s="134">
        <v>1</v>
      </c>
      <c r="AN18" s="134">
        <v>0</v>
      </c>
      <c r="AO18" s="134">
        <v>0</v>
      </c>
      <c r="AP18" s="134">
        <v>1.75</v>
      </c>
      <c r="AQ18" s="134">
        <v>0</v>
      </c>
      <c r="AR18" s="134">
        <v>0</v>
      </c>
      <c r="AS18" s="134">
        <v>1.75</v>
      </c>
      <c r="AT18" s="134">
        <v>0</v>
      </c>
      <c r="AU18" s="134">
        <v>0</v>
      </c>
      <c r="AV18" s="134">
        <v>1</v>
      </c>
      <c r="AW18" s="134">
        <v>0</v>
      </c>
      <c r="AX18" s="134">
        <v>0</v>
      </c>
      <c r="AY18" s="134">
        <v>1.5</v>
      </c>
      <c r="AZ18" s="134">
        <v>0</v>
      </c>
      <c r="BA18" s="134">
        <v>0</v>
      </c>
      <c r="BB18" s="134">
        <v>1.25</v>
      </c>
      <c r="BC18" s="134">
        <v>0</v>
      </c>
      <c r="BD18" s="134">
        <v>0</v>
      </c>
      <c r="BE18" s="134">
        <v>2</v>
      </c>
      <c r="BF18" s="134">
        <v>0</v>
      </c>
      <c r="BG18" s="134">
        <v>0</v>
      </c>
      <c r="BH18" s="134">
        <v>1.75</v>
      </c>
      <c r="BI18" s="134">
        <v>0</v>
      </c>
      <c r="BJ18" s="134">
        <v>0</v>
      </c>
      <c r="BK18" s="134">
        <v>1.75</v>
      </c>
      <c r="BL18" s="134">
        <v>0</v>
      </c>
      <c r="BM18" s="134">
        <v>0</v>
      </c>
      <c r="BN18" s="134">
        <v>0.75</v>
      </c>
      <c r="BO18" s="134">
        <v>0</v>
      </c>
      <c r="BP18" s="134">
        <v>0</v>
      </c>
      <c r="BQ18" s="134">
        <v>2</v>
      </c>
      <c r="BR18" s="134">
        <v>0</v>
      </c>
      <c r="BS18" s="134">
        <v>0</v>
      </c>
      <c r="BT18" s="134">
        <v>1</v>
      </c>
      <c r="BU18" s="134">
        <v>0</v>
      </c>
      <c r="BV18" s="134">
        <v>0</v>
      </c>
      <c r="BW18" s="134">
        <v>0.25</v>
      </c>
      <c r="BX18" s="134">
        <v>0</v>
      </c>
      <c r="BY18" s="134">
        <v>0</v>
      </c>
      <c r="BZ18" s="134">
        <v>0.5</v>
      </c>
      <c r="CA18" s="134">
        <v>0</v>
      </c>
      <c r="CB18" s="134">
        <v>0</v>
      </c>
      <c r="CC18" s="134">
        <v>1.25</v>
      </c>
      <c r="CD18" s="134">
        <v>0</v>
      </c>
      <c r="CE18" s="134">
        <v>0</v>
      </c>
      <c r="CF18" s="134">
        <v>0.5</v>
      </c>
      <c r="CG18" s="134">
        <v>0</v>
      </c>
      <c r="CH18" s="134">
        <v>0</v>
      </c>
      <c r="CI18" s="134">
        <v>1.25</v>
      </c>
      <c r="CJ18" s="134">
        <v>0</v>
      </c>
      <c r="CK18" s="134">
        <v>0</v>
      </c>
      <c r="CL18" s="134">
        <v>0.75</v>
      </c>
      <c r="CM18" s="134">
        <v>0</v>
      </c>
      <c r="CN18" s="134">
        <v>0</v>
      </c>
      <c r="CO18" s="134">
        <v>2</v>
      </c>
      <c r="CP18" s="134">
        <v>0</v>
      </c>
      <c r="CQ18" s="134">
        <v>0</v>
      </c>
      <c r="CR18" s="134">
        <v>0.5</v>
      </c>
      <c r="CS18" s="134">
        <v>0</v>
      </c>
      <c r="CT18" s="134">
        <v>0</v>
      </c>
      <c r="CU18" s="134">
        <v>0.25</v>
      </c>
      <c r="CV18" s="134">
        <v>0</v>
      </c>
      <c r="CW18" s="134">
        <v>0</v>
      </c>
      <c r="CX18" s="134">
        <v>1</v>
      </c>
      <c r="CY18" s="141"/>
      <c r="CZ18" s="141"/>
    </row>
    <row r="19" spans="1:104">
      <c r="A19" s="133" t="s">
        <v>1107</v>
      </c>
      <c r="B19" s="134">
        <v>0.5</v>
      </c>
      <c r="C19" s="135">
        <v>0.25</v>
      </c>
      <c r="D19" s="136" t="s">
        <v>1108</v>
      </c>
      <c r="E19" s="137" t="s">
        <v>1109</v>
      </c>
      <c r="F19" s="135">
        <v>0.5</v>
      </c>
      <c r="G19" s="136" t="s">
        <v>1110</v>
      </c>
      <c r="H19" s="137" t="s">
        <v>1111</v>
      </c>
      <c r="I19" s="135">
        <v>0.25</v>
      </c>
      <c r="J19" s="136" t="s">
        <v>1112</v>
      </c>
      <c r="K19" s="152" t="s">
        <v>1113</v>
      </c>
      <c r="L19" s="135">
        <v>0.5</v>
      </c>
      <c r="M19" s="136" t="s">
        <v>1114</v>
      </c>
      <c r="N19" s="137" t="s">
        <v>1115</v>
      </c>
      <c r="O19" s="135">
        <v>0.5</v>
      </c>
      <c r="P19" s="136" t="s">
        <v>720</v>
      </c>
      <c r="Q19" s="135" t="s">
        <v>721</v>
      </c>
      <c r="R19" s="135">
        <v>0.5</v>
      </c>
      <c r="S19" s="136" t="s">
        <v>722</v>
      </c>
      <c r="T19" s="135" t="s">
        <v>723</v>
      </c>
      <c r="U19" s="135">
        <v>0.5</v>
      </c>
      <c r="V19" s="136" t="s">
        <v>724</v>
      </c>
      <c r="W19" s="135" t="s">
        <v>896</v>
      </c>
      <c r="X19" s="135">
        <v>0.5</v>
      </c>
      <c r="Y19" s="136" t="s">
        <v>725</v>
      </c>
      <c r="Z19" s="137" t="s">
        <v>726</v>
      </c>
      <c r="AA19" s="135">
        <v>0.25</v>
      </c>
      <c r="AB19" s="136" t="s">
        <v>727</v>
      </c>
      <c r="AC19" s="137" t="s">
        <v>728</v>
      </c>
      <c r="AD19" s="135">
        <v>0.25</v>
      </c>
      <c r="AE19" s="136" t="s">
        <v>729</v>
      </c>
      <c r="AF19" s="137" t="s">
        <v>285</v>
      </c>
      <c r="AG19" s="135">
        <v>0.5</v>
      </c>
      <c r="AH19" s="136" t="s">
        <v>730</v>
      </c>
      <c r="AI19" s="137" t="s">
        <v>903</v>
      </c>
      <c r="AJ19" s="135">
        <v>0.25</v>
      </c>
      <c r="AK19" s="136" t="s">
        <v>731</v>
      </c>
      <c r="AL19" s="135" t="s">
        <v>830</v>
      </c>
      <c r="AM19" s="135">
        <v>0.25</v>
      </c>
      <c r="AN19" s="136" t="s">
        <v>732</v>
      </c>
      <c r="AO19" s="137" t="s">
        <v>733</v>
      </c>
      <c r="AP19" s="135">
        <v>0.5</v>
      </c>
      <c r="AQ19" s="136" t="s">
        <v>734</v>
      </c>
      <c r="AR19" s="135" t="s">
        <v>723</v>
      </c>
      <c r="AS19" s="135">
        <v>0.5</v>
      </c>
      <c r="AT19" s="136" t="s">
        <v>735</v>
      </c>
      <c r="AU19" s="137" t="s">
        <v>736</v>
      </c>
      <c r="AV19" s="135">
        <v>0.25</v>
      </c>
      <c r="AW19" s="136" t="s">
        <v>737</v>
      </c>
      <c r="AX19" s="137" t="s">
        <v>738</v>
      </c>
      <c r="AY19" s="135">
        <v>0.25</v>
      </c>
      <c r="AZ19" s="136" t="s">
        <v>739</v>
      </c>
      <c r="BA19" s="135" t="s">
        <v>723</v>
      </c>
      <c r="BB19" s="135">
        <v>0.5</v>
      </c>
      <c r="BC19" s="136" t="s">
        <v>740</v>
      </c>
      <c r="BD19" s="135" t="s">
        <v>721</v>
      </c>
      <c r="BE19" s="135">
        <v>0.25</v>
      </c>
      <c r="BF19" s="136" t="s">
        <v>741</v>
      </c>
      <c r="BG19" s="137" t="s">
        <v>742</v>
      </c>
      <c r="BH19" s="135">
        <v>0.5</v>
      </c>
      <c r="BI19" s="136" t="s">
        <v>743</v>
      </c>
      <c r="BJ19" s="138" t="s">
        <v>744</v>
      </c>
      <c r="BK19" s="135">
        <v>0.25</v>
      </c>
      <c r="BL19" s="136" t="s">
        <v>745</v>
      </c>
      <c r="BM19" s="138" t="s">
        <v>746</v>
      </c>
      <c r="BN19" s="135">
        <v>0.25</v>
      </c>
      <c r="BO19" s="136" t="s">
        <v>747</v>
      </c>
      <c r="BP19" s="135" t="s">
        <v>723</v>
      </c>
      <c r="BQ19" s="135">
        <v>0.25</v>
      </c>
      <c r="BR19" s="136" t="s">
        <v>748</v>
      </c>
      <c r="BS19" s="137" t="s">
        <v>749</v>
      </c>
      <c r="BT19" s="135">
        <v>0.5</v>
      </c>
      <c r="BU19" s="136" t="s">
        <v>750</v>
      </c>
      <c r="BV19" s="138" t="s">
        <v>292</v>
      </c>
      <c r="BW19" s="135">
        <v>0.25</v>
      </c>
      <c r="BX19" s="136" t="s">
        <v>751</v>
      </c>
      <c r="BY19" s="137" t="s">
        <v>921</v>
      </c>
      <c r="BZ19" s="135">
        <v>0.25</v>
      </c>
      <c r="CA19" s="136" t="s">
        <v>752</v>
      </c>
      <c r="CB19" s="137" t="s">
        <v>1103</v>
      </c>
      <c r="CC19" s="135">
        <v>0.25</v>
      </c>
      <c r="CD19" s="136" t="s">
        <v>753</v>
      </c>
      <c r="CE19" s="138" t="s">
        <v>754</v>
      </c>
      <c r="CF19" s="135">
        <v>0.25</v>
      </c>
      <c r="CG19" s="136" t="s">
        <v>755</v>
      </c>
      <c r="CH19" s="137" t="s">
        <v>756</v>
      </c>
      <c r="CI19" s="135">
        <v>0</v>
      </c>
      <c r="CJ19" s="141" t="s">
        <v>869</v>
      </c>
      <c r="CK19" s="141" t="s">
        <v>869</v>
      </c>
      <c r="CL19" s="135">
        <v>0.25</v>
      </c>
      <c r="CM19" s="136" t="s">
        <v>757</v>
      </c>
      <c r="CN19" s="140" t="s">
        <v>758</v>
      </c>
      <c r="CO19" s="135">
        <v>0.25</v>
      </c>
      <c r="CP19" s="136" t="s">
        <v>759</v>
      </c>
      <c r="CQ19" s="76" t="s">
        <v>760</v>
      </c>
      <c r="CR19" s="135">
        <v>0</v>
      </c>
      <c r="CS19" s="141" t="s">
        <v>869</v>
      </c>
      <c r="CT19" s="141" t="s">
        <v>869</v>
      </c>
      <c r="CU19" s="135">
        <v>0</v>
      </c>
      <c r="CV19" s="141" t="s">
        <v>869</v>
      </c>
      <c r="CW19" s="141" t="s">
        <v>869</v>
      </c>
      <c r="CX19" s="135">
        <v>0.5</v>
      </c>
      <c r="CY19" s="136" t="s">
        <v>761</v>
      </c>
      <c r="CZ19" s="137" t="s">
        <v>871</v>
      </c>
    </row>
    <row r="20" spans="1:104">
      <c r="A20" s="153" t="s">
        <v>762</v>
      </c>
      <c r="B20" s="134">
        <v>1</v>
      </c>
      <c r="C20" s="135">
        <v>1</v>
      </c>
      <c r="D20" s="136" t="s">
        <v>763</v>
      </c>
      <c r="E20" s="137" t="s">
        <v>872</v>
      </c>
      <c r="F20" s="135">
        <v>1</v>
      </c>
      <c r="G20" s="136" t="s">
        <v>1253</v>
      </c>
      <c r="H20" s="137" t="s">
        <v>1254</v>
      </c>
      <c r="I20" s="135">
        <v>1</v>
      </c>
      <c r="J20" s="136" t="s">
        <v>1255</v>
      </c>
      <c r="K20" s="135" t="s">
        <v>277</v>
      </c>
      <c r="L20" s="135">
        <v>1</v>
      </c>
      <c r="M20" s="136" t="s">
        <v>1256</v>
      </c>
      <c r="N20" s="154" t="s">
        <v>279</v>
      </c>
      <c r="O20" s="135">
        <v>1</v>
      </c>
      <c r="P20" s="136" t="s">
        <v>1257</v>
      </c>
      <c r="Q20" s="137" t="s">
        <v>1258</v>
      </c>
      <c r="R20" s="155">
        <v>0.5</v>
      </c>
      <c r="S20" s="136" t="s">
        <v>1259</v>
      </c>
      <c r="T20" s="137" t="s">
        <v>289</v>
      </c>
      <c r="U20" s="135">
        <v>1</v>
      </c>
      <c r="V20" s="136" t="s">
        <v>1260</v>
      </c>
      <c r="W20" s="137" t="s">
        <v>1261</v>
      </c>
      <c r="X20" s="135">
        <v>0</v>
      </c>
      <c r="Y20" s="141" t="s">
        <v>869</v>
      </c>
      <c r="Z20" s="141" t="s">
        <v>869</v>
      </c>
      <c r="AA20" s="135">
        <v>1</v>
      </c>
      <c r="AB20" s="136" t="s">
        <v>1262</v>
      </c>
      <c r="AC20" s="137" t="s">
        <v>1263</v>
      </c>
      <c r="AD20" s="135">
        <v>1</v>
      </c>
      <c r="AE20" s="136" t="s">
        <v>1264</v>
      </c>
      <c r="AF20" s="137" t="s">
        <v>874</v>
      </c>
      <c r="AG20" s="135">
        <v>1</v>
      </c>
      <c r="AH20" s="136" t="s">
        <v>1265</v>
      </c>
      <c r="AI20" s="137" t="s">
        <v>875</v>
      </c>
      <c r="AJ20" s="135">
        <v>1</v>
      </c>
      <c r="AK20" s="136" t="s">
        <v>1266</v>
      </c>
      <c r="AL20" s="137" t="s">
        <v>1267</v>
      </c>
      <c r="AM20" s="135">
        <v>1</v>
      </c>
      <c r="AN20" s="135" t="s">
        <v>1268</v>
      </c>
      <c r="AO20" s="137" t="s">
        <v>876</v>
      </c>
      <c r="AP20" s="135">
        <v>0.5</v>
      </c>
      <c r="AQ20" s="136" t="s">
        <v>1269</v>
      </c>
      <c r="AR20" s="135" t="s">
        <v>834</v>
      </c>
      <c r="AS20" s="135">
        <v>1</v>
      </c>
      <c r="AT20" s="136" t="s">
        <v>1270</v>
      </c>
      <c r="AU20" s="136" t="s">
        <v>1271</v>
      </c>
      <c r="AV20" s="135">
        <v>1</v>
      </c>
      <c r="AW20" s="136" t="s">
        <v>1272</v>
      </c>
      <c r="AX20" s="137" t="s">
        <v>1273</v>
      </c>
      <c r="AY20" s="135">
        <v>1</v>
      </c>
      <c r="AZ20" s="136" t="s">
        <v>1274</v>
      </c>
      <c r="BA20" s="137" t="s">
        <v>1275</v>
      </c>
      <c r="BB20" s="135">
        <v>1</v>
      </c>
      <c r="BC20" s="136" t="s">
        <v>1276</v>
      </c>
      <c r="BD20" s="138" t="s">
        <v>877</v>
      </c>
      <c r="BE20" s="135">
        <v>0.5</v>
      </c>
      <c r="BF20" s="136" t="s">
        <v>1277</v>
      </c>
      <c r="BG20" s="137" t="s">
        <v>742</v>
      </c>
      <c r="BH20" s="135">
        <v>0</v>
      </c>
      <c r="BI20" s="141" t="s">
        <v>869</v>
      </c>
      <c r="BJ20" s="141" t="s">
        <v>869</v>
      </c>
      <c r="BK20" s="135">
        <v>0.5</v>
      </c>
      <c r="BL20" s="136" t="s">
        <v>1278</v>
      </c>
      <c r="BM20" s="135" t="s">
        <v>878</v>
      </c>
      <c r="BN20" s="135">
        <v>0</v>
      </c>
      <c r="BO20" s="141" t="s">
        <v>869</v>
      </c>
      <c r="BP20" s="141" t="s">
        <v>869</v>
      </c>
      <c r="BQ20" s="135">
        <v>1</v>
      </c>
      <c r="BR20" s="136" t="s">
        <v>1279</v>
      </c>
      <c r="BS20" s="137" t="s">
        <v>287</v>
      </c>
      <c r="BT20" s="135">
        <v>0.5</v>
      </c>
      <c r="BU20" s="156" t="s">
        <v>1280</v>
      </c>
      <c r="BV20" s="135" t="s">
        <v>852</v>
      </c>
      <c r="BW20" s="135">
        <v>1</v>
      </c>
      <c r="BX20" s="136" t="s">
        <v>1281</v>
      </c>
      <c r="BY20" s="136" t="s">
        <v>1282</v>
      </c>
      <c r="BZ20" s="135">
        <v>1</v>
      </c>
      <c r="CA20" s="136" t="s">
        <v>1283</v>
      </c>
      <c r="CB20" s="135" t="s">
        <v>881</v>
      </c>
      <c r="CC20" s="135">
        <v>0</v>
      </c>
      <c r="CD20" s="141" t="s">
        <v>869</v>
      </c>
      <c r="CE20" s="141" t="s">
        <v>869</v>
      </c>
      <c r="CF20" s="135">
        <v>1</v>
      </c>
      <c r="CG20" s="136" t="s">
        <v>1284</v>
      </c>
      <c r="CH20" s="138" t="s">
        <v>1285</v>
      </c>
      <c r="CI20" s="135">
        <v>1</v>
      </c>
      <c r="CJ20" s="136" t="s">
        <v>1286</v>
      </c>
      <c r="CK20" s="135" t="s">
        <v>882</v>
      </c>
      <c r="CL20" s="135">
        <v>0</v>
      </c>
      <c r="CM20" s="141" t="s">
        <v>869</v>
      </c>
      <c r="CN20" s="141" t="s">
        <v>869</v>
      </c>
      <c r="CO20" s="135">
        <v>0</v>
      </c>
      <c r="CP20" s="141" t="s">
        <v>869</v>
      </c>
      <c r="CQ20" s="141" t="s">
        <v>869</v>
      </c>
      <c r="CR20" s="135">
        <v>0</v>
      </c>
      <c r="CS20" s="141" t="s">
        <v>869</v>
      </c>
      <c r="CT20" s="141" t="s">
        <v>869</v>
      </c>
      <c r="CU20" s="135">
        <v>0.5</v>
      </c>
      <c r="CV20" s="135" t="s">
        <v>1287</v>
      </c>
      <c r="CW20" s="137" t="s">
        <v>1288</v>
      </c>
      <c r="CX20" s="135">
        <v>0</v>
      </c>
      <c r="CY20" s="141" t="s">
        <v>869</v>
      </c>
      <c r="CZ20" s="141" t="s">
        <v>869</v>
      </c>
    </row>
    <row r="21" spans="1:104">
      <c r="A21" s="133" t="s">
        <v>1289</v>
      </c>
      <c r="B21" s="134">
        <v>1</v>
      </c>
      <c r="C21" s="135">
        <v>0</v>
      </c>
      <c r="D21" s="141" t="s">
        <v>869</v>
      </c>
      <c r="E21" s="141" t="s">
        <v>869</v>
      </c>
      <c r="F21" s="135">
        <v>1</v>
      </c>
      <c r="G21" s="136" t="s">
        <v>1290</v>
      </c>
      <c r="H21" s="137" t="s">
        <v>1291</v>
      </c>
      <c r="I21" s="135">
        <v>1</v>
      </c>
      <c r="J21" s="136" t="s">
        <v>1292</v>
      </c>
      <c r="K21" s="137" t="s">
        <v>271</v>
      </c>
      <c r="L21" s="135">
        <v>0</v>
      </c>
      <c r="M21" s="141" t="s">
        <v>869</v>
      </c>
      <c r="N21" s="141" t="s">
        <v>869</v>
      </c>
      <c r="O21" s="135">
        <v>1</v>
      </c>
      <c r="P21" s="136" t="s">
        <v>1293</v>
      </c>
      <c r="Q21" s="137" t="s">
        <v>1294</v>
      </c>
      <c r="R21" s="135">
        <v>0</v>
      </c>
      <c r="S21" s="141" t="s">
        <v>869</v>
      </c>
      <c r="T21" s="141" t="s">
        <v>869</v>
      </c>
      <c r="U21" s="135">
        <v>0</v>
      </c>
      <c r="V21" s="141" t="s">
        <v>869</v>
      </c>
      <c r="W21" s="141" t="s">
        <v>869</v>
      </c>
      <c r="X21" s="135">
        <v>0</v>
      </c>
      <c r="Y21" s="141" t="s">
        <v>869</v>
      </c>
      <c r="Z21" s="141" t="s">
        <v>869</v>
      </c>
      <c r="AA21" s="135">
        <v>1</v>
      </c>
      <c r="AB21" s="136" t="s">
        <v>1295</v>
      </c>
      <c r="AC21" s="140" t="s">
        <v>1296</v>
      </c>
      <c r="AD21" s="135">
        <v>0</v>
      </c>
      <c r="AE21" s="141" t="s">
        <v>869</v>
      </c>
      <c r="AF21" s="141" t="s">
        <v>869</v>
      </c>
      <c r="AG21" s="135">
        <v>0</v>
      </c>
      <c r="AH21" s="141" t="s">
        <v>869</v>
      </c>
      <c r="AI21" s="141" t="s">
        <v>869</v>
      </c>
      <c r="AJ21" s="135">
        <v>0</v>
      </c>
      <c r="AK21" s="141" t="s">
        <v>869</v>
      </c>
      <c r="AL21" s="141" t="s">
        <v>869</v>
      </c>
      <c r="AM21" s="135">
        <v>1</v>
      </c>
      <c r="AN21" s="136" t="s">
        <v>1297</v>
      </c>
      <c r="AO21" s="137" t="s">
        <v>1298</v>
      </c>
      <c r="AP21" s="135">
        <v>0</v>
      </c>
      <c r="AQ21" s="141" t="s">
        <v>869</v>
      </c>
      <c r="AR21" s="141" t="s">
        <v>869</v>
      </c>
      <c r="AS21" s="135">
        <v>1</v>
      </c>
      <c r="AT21" s="136" t="s">
        <v>1299</v>
      </c>
      <c r="AU21" s="135" t="s">
        <v>836</v>
      </c>
      <c r="AV21" s="135">
        <v>0</v>
      </c>
      <c r="AW21" s="141" t="s">
        <v>869</v>
      </c>
      <c r="AX21" s="141" t="s">
        <v>869</v>
      </c>
      <c r="AY21" s="135">
        <v>0</v>
      </c>
      <c r="AZ21" s="141" t="s">
        <v>869</v>
      </c>
      <c r="BA21" s="141" t="s">
        <v>869</v>
      </c>
      <c r="BB21" s="135">
        <v>1</v>
      </c>
      <c r="BC21" s="136" t="s">
        <v>1300</v>
      </c>
      <c r="BD21" s="138" t="s">
        <v>877</v>
      </c>
      <c r="BE21" s="135">
        <v>0.5</v>
      </c>
      <c r="BF21" s="136" t="s">
        <v>929</v>
      </c>
      <c r="BG21" s="135" t="s">
        <v>808</v>
      </c>
      <c r="BH21" s="135">
        <v>0</v>
      </c>
      <c r="BI21" s="141" t="s">
        <v>869</v>
      </c>
      <c r="BJ21" s="141" t="s">
        <v>869</v>
      </c>
      <c r="BK21" s="135">
        <v>0</v>
      </c>
      <c r="BL21" s="141" t="s">
        <v>869</v>
      </c>
      <c r="BM21" s="141" t="s">
        <v>869</v>
      </c>
      <c r="BN21" s="135">
        <v>0</v>
      </c>
      <c r="BO21" s="141" t="s">
        <v>869</v>
      </c>
      <c r="BP21" s="141" t="s">
        <v>869</v>
      </c>
      <c r="BQ21" s="135">
        <v>0</v>
      </c>
      <c r="BR21" s="141" t="s">
        <v>869</v>
      </c>
      <c r="BS21" s="141" t="s">
        <v>869</v>
      </c>
      <c r="BT21" s="135">
        <v>0</v>
      </c>
      <c r="BU21" s="141" t="s">
        <v>869</v>
      </c>
      <c r="BV21" s="141" t="s">
        <v>869</v>
      </c>
      <c r="BW21" s="135">
        <v>0</v>
      </c>
      <c r="BX21" s="141" t="s">
        <v>869</v>
      </c>
      <c r="BY21" s="141" t="s">
        <v>869</v>
      </c>
      <c r="BZ21" s="135">
        <v>1</v>
      </c>
      <c r="CA21" s="136" t="s">
        <v>930</v>
      </c>
      <c r="CB21" s="135"/>
      <c r="CC21" s="135">
        <v>0</v>
      </c>
      <c r="CD21" s="141" t="s">
        <v>869</v>
      </c>
      <c r="CE21" s="141" t="s">
        <v>869</v>
      </c>
      <c r="CF21" s="135">
        <v>0</v>
      </c>
      <c r="CG21" s="141" t="s">
        <v>869</v>
      </c>
      <c r="CH21" s="141" t="s">
        <v>869</v>
      </c>
      <c r="CI21" s="135">
        <v>0</v>
      </c>
      <c r="CJ21" s="141" t="s">
        <v>869</v>
      </c>
      <c r="CK21" s="141" t="s">
        <v>869</v>
      </c>
      <c r="CL21" s="135">
        <v>0</v>
      </c>
      <c r="CM21" s="141" t="s">
        <v>869</v>
      </c>
      <c r="CN21" s="141" t="s">
        <v>869</v>
      </c>
      <c r="CO21" s="135">
        <v>0</v>
      </c>
      <c r="CP21" s="141" t="s">
        <v>869</v>
      </c>
      <c r="CQ21" s="141" t="s">
        <v>869</v>
      </c>
      <c r="CR21" s="135">
        <v>0</v>
      </c>
      <c r="CS21" s="141" t="s">
        <v>869</v>
      </c>
      <c r="CT21" s="141" t="s">
        <v>869</v>
      </c>
      <c r="CU21" s="135">
        <v>0</v>
      </c>
      <c r="CV21" s="141" t="s">
        <v>869</v>
      </c>
      <c r="CW21" s="141" t="s">
        <v>869</v>
      </c>
      <c r="CX21" s="135">
        <v>0</v>
      </c>
      <c r="CY21" s="141" t="s">
        <v>869</v>
      </c>
      <c r="CZ21" s="141" t="s">
        <v>869</v>
      </c>
    </row>
    <row r="22" spans="1:104">
      <c r="A22" s="157" t="s">
        <v>119</v>
      </c>
      <c r="B22" s="129">
        <f>B23+B26+B28</f>
        <v>10</v>
      </c>
      <c r="C22" s="129">
        <f t="shared" ref="C22:BN22" si="8">C23+C26+C28</f>
        <v>9.5</v>
      </c>
      <c r="D22" s="129" t="e">
        <f t="shared" si="8"/>
        <v>#VALUE!</v>
      </c>
      <c r="E22" s="129" t="e">
        <f t="shared" si="8"/>
        <v>#VALUE!</v>
      </c>
      <c r="F22" s="129">
        <f t="shared" si="8"/>
        <v>7.5</v>
      </c>
      <c r="G22" s="129" t="e">
        <f t="shared" si="8"/>
        <v>#VALUE!</v>
      </c>
      <c r="H22" s="129" t="e">
        <f t="shared" si="8"/>
        <v>#VALUE!</v>
      </c>
      <c r="I22" s="129">
        <f t="shared" si="8"/>
        <v>8</v>
      </c>
      <c r="J22" s="129" t="e">
        <f t="shared" si="8"/>
        <v>#VALUE!</v>
      </c>
      <c r="K22" s="129" t="e">
        <f t="shared" si="8"/>
        <v>#VALUE!</v>
      </c>
      <c r="L22" s="129">
        <f t="shared" si="8"/>
        <v>9</v>
      </c>
      <c r="M22" s="129" t="e">
        <f t="shared" si="8"/>
        <v>#VALUE!</v>
      </c>
      <c r="N22" s="129" t="e">
        <f t="shared" si="8"/>
        <v>#VALUE!</v>
      </c>
      <c r="O22" s="129">
        <f t="shared" si="8"/>
        <v>6</v>
      </c>
      <c r="P22" s="129" t="e">
        <f t="shared" si="8"/>
        <v>#VALUE!</v>
      </c>
      <c r="Q22" s="129" t="e">
        <f t="shared" si="8"/>
        <v>#VALUE!</v>
      </c>
      <c r="R22" s="129">
        <f t="shared" si="8"/>
        <v>9</v>
      </c>
      <c r="S22" s="129" t="e">
        <f t="shared" si="8"/>
        <v>#VALUE!</v>
      </c>
      <c r="T22" s="129" t="e">
        <f t="shared" si="8"/>
        <v>#VALUE!</v>
      </c>
      <c r="U22" s="129">
        <f t="shared" si="8"/>
        <v>4</v>
      </c>
      <c r="V22" s="129" t="e">
        <f t="shared" si="8"/>
        <v>#VALUE!</v>
      </c>
      <c r="W22" s="129" t="e">
        <f t="shared" si="8"/>
        <v>#VALUE!</v>
      </c>
      <c r="X22" s="129">
        <f t="shared" si="8"/>
        <v>6.5</v>
      </c>
      <c r="Y22" s="129" t="e">
        <f t="shared" si="8"/>
        <v>#VALUE!</v>
      </c>
      <c r="Z22" s="129" t="e">
        <f t="shared" si="8"/>
        <v>#VALUE!</v>
      </c>
      <c r="AA22" s="129">
        <f t="shared" si="8"/>
        <v>8</v>
      </c>
      <c r="AB22" s="129" t="e">
        <f t="shared" si="8"/>
        <v>#VALUE!</v>
      </c>
      <c r="AC22" s="129" t="e">
        <f t="shared" si="8"/>
        <v>#VALUE!</v>
      </c>
      <c r="AD22" s="129">
        <f t="shared" si="8"/>
        <v>8.5</v>
      </c>
      <c r="AE22" s="129" t="e">
        <f t="shared" si="8"/>
        <v>#VALUE!</v>
      </c>
      <c r="AF22" s="129" t="e">
        <f t="shared" si="8"/>
        <v>#VALUE!</v>
      </c>
      <c r="AG22" s="129">
        <f t="shared" si="8"/>
        <v>7.5</v>
      </c>
      <c r="AH22" s="129" t="e">
        <f t="shared" si="8"/>
        <v>#VALUE!</v>
      </c>
      <c r="AI22" s="129" t="e">
        <f t="shared" si="8"/>
        <v>#VALUE!</v>
      </c>
      <c r="AJ22" s="129">
        <f t="shared" si="8"/>
        <v>8</v>
      </c>
      <c r="AK22" s="129" t="e">
        <f t="shared" si="8"/>
        <v>#VALUE!</v>
      </c>
      <c r="AL22" s="129" t="e">
        <f t="shared" si="8"/>
        <v>#VALUE!</v>
      </c>
      <c r="AM22" s="129">
        <f t="shared" si="8"/>
        <v>6</v>
      </c>
      <c r="AN22" s="129" t="e">
        <f t="shared" si="8"/>
        <v>#VALUE!</v>
      </c>
      <c r="AO22" s="129" t="e">
        <f t="shared" si="8"/>
        <v>#VALUE!</v>
      </c>
      <c r="AP22" s="129">
        <f t="shared" si="8"/>
        <v>6</v>
      </c>
      <c r="AQ22" s="129" t="e">
        <f t="shared" si="8"/>
        <v>#VALUE!</v>
      </c>
      <c r="AR22" s="129" t="e">
        <f t="shared" si="8"/>
        <v>#VALUE!</v>
      </c>
      <c r="AS22" s="129">
        <f t="shared" si="8"/>
        <v>4.5</v>
      </c>
      <c r="AT22" s="129" t="e">
        <f t="shared" si="8"/>
        <v>#VALUE!</v>
      </c>
      <c r="AU22" s="129" t="e">
        <f t="shared" si="8"/>
        <v>#VALUE!</v>
      </c>
      <c r="AV22" s="129">
        <f t="shared" si="8"/>
        <v>6</v>
      </c>
      <c r="AW22" s="129" t="e">
        <f t="shared" si="8"/>
        <v>#VALUE!</v>
      </c>
      <c r="AX22" s="129" t="e">
        <f t="shared" si="8"/>
        <v>#VALUE!</v>
      </c>
      <c r="AY22" s="129">
        <f t="shared" si="8"/>
        <v>6</v>
      </c>
      <c r="AZ22" s="129" t="e">
        <f t="shared" si="8"/>
        <v>#VALUE!</v>
      </c>
      <c r="BA22" s="129" t="e">
        <f t="shared" si="8"/>
        <v>#VALUE!</v>
      </c>
      <c r="BB22" s="129">
        <f t="shared" si="8"/>
        <v>4.5</v>
      </c>
      <c r="BC22" s="129" t="e">
        <f t="shared" si="8"/>
        <v>#VALUE!</v>
      </c>
      <c r="BD22" s="129" t="e">
        <f t="shared" si="8"/>
        <v>#VALUE!</v>
      </c>
      <c r="BE22" s="129">
        <f t="shared" si="8"/>
        <v>2</v>
      </c>
      <c r="BF22" s="129" t="e">
        <f t="shared" si="8"/>
        <v>#VALUE!</v>
      </c>
      <c r="BG22" s="129" t="e">
        <f t="shared" si="8"/>
        <v>#VALUE!</v>
      </c>
      <c r="BH22" s="129">
        <f t="shared" si="8"/>
        <v>6</v>
      </c>
      <c r="BI22" s="129" t="e">
        <f t="shared" si="8"/>
        <v>#VALUE!</v>
      </c>
      <c r="BJ22" s="129" t="e">
        <f t="shared" si="8"/>
        <v>#VALUE!</v>
      </c>
      <c r="BK22" s="129">
        <f t="shared" si="8"/>
        <v>5.5</v>
      </c>
      <c r="BL22" s="129" t="e">
        <f t="shared" si="8"/>
        <v>#VALUE!</v>
      </c>
      <c r="BM22" s="129" t="e">
        <f t="shared" si="8"/>
        <v>#VALUE!</v>
      </c>
      <c r="BN22" s="129">
        <f t="shared" si="8"/>
        <v>6</v>
      </c>
      <c r="BO22" s="129" t="e">
        <f t="shared" ref="BO22:CX22" si="9">BO23+BO26+BO28</f>
        <v>#VALUE!</v>
      </c>
      <c r="BP22" s="129" t="e">
        <f t="shared" si="9"/>
        <v>#VALUE!</v>
      </c>
      <c r="BQ22" s="129">
        <f t="shared" si="9"/>
        <v>4.5</v>
      </c>
      <c r="BR22" s="129" t="e">
        <f t="shared" si="9"/>
        <v>#VALUE!</v>
      </c>
      <c r="BS22" s="129" t="e">
        <f t="shared" si="9"/>
        <v>#VALUE!</v>
      </c>
      <c r="BT22" s="129">
        <f t="shared" si="9"/>
        <v>7</v>
      </c>
      <c r="BU22" s="129" t="e">
        <f t="shared" si="9"/>
        <v>#VALUE!</v>
      </c>
      <c r="BV22" s="129" t="e">
        <f t="shared" si="9"/>
        <v>#VALUE!</v>
      </c>
      <c r="BW22" s="129">
        <f t="shared" si="9"/>
        <v>6.5</v>
      </c>
      <c r="BX22" s="129" t="e">
        <f t="shared" si="9"/>
        <v>#VALUE!</v>
      </c>
      <c r="BY22" s="129" t="e">
        <f t="shared" si="9"/>
        <v>#VALUE!</v>
      </c>
      <c r="BZ22" s="129">
        <f t="shared" si="9"/>
        <v>6.5</v>
      </c>
      <c r="CA22" s="129" t="e">
        <f t="shared" si="9"/>
        <v>#VALUE!</v>
      </c>
      <c r="CB22" s="129" t="e">
        <f t="shared" si="9"/>
        <v>#VALUE!</v>
      </c>
      <c r="CC22" s="129">
        <f t="shared" si="9"/>
        <v>6.5</v>
      </c>
      <c r="CD22" s="129" t="e">
        <f t="shared" si="9"/>
        <v>#VALUE!</v>
      </c>
      <c r="CE22" s="129" t="e">
        <f t="shared" si="9"/>
        <v>#VALUE!</v>
      </c>
      <c r="CF22" s="129">
        <f t="shared" si="9"/>
        <v>4</v>
      </c>
      <c r="CG22" s="129" t="e">
        <f t="shared" si="9"/>
        <v>#VALUE!</v>
      </c>
      <c r="CH22" s="129" t="e">
        <f t="shared" si="9"/>
        <v>#VALUE!</v>
      </c>
      <c r="CI22" s="129">
        <f t="shared" si="9"/>
        <v>3</v>
      </c>
      <c r="CJ22" s="129" t="e">
        <f t="shared" si="9"/>
        <v>#VALUE!</v>
      </c>
      <c r="CK22" s="129" t="e">
        <f t="shared" si="9"/>
        <v>#VALUE!</v>
      </c>
      <c r="CL22" s="129">
        <f t="shared" si="9"/>
        <v>4.5</v>
      </c>
      <c r="CM22" s="129" t="e">
        <f t="shared" si="9"/>
        <v>#VALUE!</v>
      </c>
      <c r="CN22" s="129" t="e">
        <f t="shared" si="9"/>
        <v>#VALUE!</v>
      </c>
      <c r="CO22" s="129">
        <f t="shared" si="9"/>
        <v>2.5</v>
      </c>
      <c r="CP22" s="129" t="e">
        <f t="shared" si="9"/>
        <v>#VALUE!</v>
      </c>
      <c r="CQ22" s="129" t="e">
        <f t="shared" si="9"/>
        <v>#VALUE!</v>
      </c>
      <c r="CR22" s="129">
        <f t="shared" si="9"/>
        <v>3.5</v>
      </c>
      <c r="CS22" s="129" t="e">
        <f t="shared" si="9"/>
        <v>#VALUE!</v>
      </c>
      <c r="CT22" s="129" t="e">
        <f t="shared" si="9"/>
        <v>#VALUE!</v>
      </c>
      <c r="CU22" s="129">
        <f t="shared" si="9"/>
        <v>3</v>
      </c>
      <c r="CV22" s="129" t="e">
        <f t="shared" si="9"/>
        <v>#VALUE!</v>
      </c>
      <c r="CW22" s="129" t="e">
        <f t="shared" si="9"/>
        <v>#VALUE!</v>
      </c>
      <c r="CX22" s="129">
        <f t="shared" si="9"/>
        <v>3</v>
      </c>
      <c r="CY22" s="129"/>
      <c r="CZ22" s="129"/>
    </row>
    <row r="23" spans="1:104" s="81" customFormat="1">
      <c r="A23" s="158" t="s">
        <v>931</v>
      </c>
      <c r="B23" s="131">
        <f>SUM(B24:B25)</f>
        <v>1.5</v>
      </c>
      <c r="C23" s="131">
        <f t="shared" ref="C23:BN23" si="10">SUM(C24:C25)</f>
        <v>1.5</v>
      </c>
      <c r="D23" s="131">
        <f t="shared" si="10"/>
        <v>0</v>
      </c>
      <c r="E23" s="131">
        <f t="shared" si="10"/>
        <v>0</v>
      </c>
      <c r="F23" s="131">
        <f t="shared" si="10"/>
        <v>1.5</v>
      </c>
      <c r="G23" s="131">
        <f t="shared" si="10"/>
        <v>0</v>
      </c>
      <c r="H23" s="131">
        <f t="shared" si="10"/>
        <v>0</v>
      </c>
      <c r="I23" s="131">
        <f t="shared" si="10"/>
        <v>1.5</v>
      </c>
      <c r="J23" s="131">
        <f t="shared" si="10"/>
        <v>0</v>
      </c>
      <c r="K23" s="131">
        <f t="shared" si="10"/>
        <v>0</v>
      </c>
      <c r="L23" s="131">
        <f t="shared" si="10"/>
        <v>1.5</v>
      </c>
      <c r="M23" s="131">
        <f t="shared" si="10"/>
        <v>0</v>
      </c>
      <c r="N23" s="131">
        <f t="shared" si="10"/>
        <v>0</v>
      </c>
      <c r="O23" s="131">
        <f t="shared" si="10"/>
        <v>1.5</v>
      </c>
      <c r="P23" s="131">
        <f t="shared" si="10"/>
        <v>0</v>
      </c>
      <c r="Q23" s="131">
        <f t="shared" si="10"/>
        <v>0</v>
      </c>
      <c r="R23" s="131">
        <f t="shared" si="10"/>
        <v>1.5</v>
      </c>
      <c r="S23" s="131">
        <f t="shared" si="10"/>
        <v>0</v>
      </c>
      <c r="T23" s="131">
        <f t="shared" si="10"/>
        <v>0</v>
      </c>
      <c r="U23" s="131">
        <f t="shared" si="10"/>
        <v>1</v>
      </c>
      <c r="V23" s="131">
        <f t="shared" si="10"/>
        <v>0</v>
      </c>
      <c r="W23" s="131">
        <f t="shared" si="10"/>
        <v>0</v>
      </c>
      <c r="X23" s="131">
        <f t="shared" si="10"/>
        <v>1.5</v>
      </c>
      <c r="Y23" s="131">
        <f t="shared" si="10"/>
        <v>0</v>
      </c>
      <c r="Z23" s="131">
        <f t="shared" si="10"/>
        <v>0</v>
      </c>
      <c r="AA23" s="131">
        <f t="shared" si="10"/>
        <v>1.5</v>
      </c>
      <c r="AB23" s="131">
        <f t="shared" si="10"/>
        <v>0</v>
      </c>
      <c r="AC23" s="131">
        <f t="shared" si="10"/>
        <v>0</v>
      </c>
      <c r="AD23" s="131">
        <f t="shared" si="10"/>
        <v>1.5</v>
      </c>
      <c r="AE23" s="131">
        <f t="shared" si="10"/>
        <v>0</v>
      </c>
      <c r="AF23" s="131">
        <f t="shared" si="10"/>
        <v>0</v>
      </c>
      <c r="AG23" s="131">
        <f t="shared" si="10"/>
        <v>0.5</v>
      </c>
      <c r="AH23" s="131">
        <f t="shared" si="10"/>
        <v>0</v>
      </c>
      <c r="AI23" s="131">
        <f t="shared" si="10"/>
        <v>0</v>
      </c>
      <c r="AJ23" s="131">
        <f t="shared" si="10"/>
        <v>1.5</v>
      </c>
      <c r="AK23" s="131">
        <f t="shared" si="10"/>
        <v>0</v>
      </c>
      <c r="AL23" s="131">
        <f t="shared" si="10"/>
        <v>0</v>
      </c>
      <c r="AM23" s="131">
        <f t="shared" si="10"/>
        <v>1.5</v>
      </c>
      <c r="AN23" s="131">
        <f t="shared" si="10"/>
        <v>0</v>
      </c>
      <c r="AO23" s="131">
        <f t="shared" si="10"/>
        <v>0</v>
      </c>
      <c r="AP23" s="131">
        <f t="shared" si="10"/>
        <v>1.5</v>
      </c>
      <c r="AQ23" s="131">
        <f t="shared" si="10"/>
        <v>0</v>
      </c>
      <c r="AR23" s="131">
        <f t="shared" si="10"/>
        <v>0</v>
      </c>
      <c r="AS23" s="131">
        <f t="shared" si="10"/>
        <v>1.5</v>
      </c>
      <c r="AT23" s="131">
        <f t="shared" si="10"/>
        <v>0</v>
      </c>
      <c r="AU23" s="131">
        <f t="shared" si="10"/>
        <v>0</v>
      </c>
      <c r="AV23" s="131">
        <f t="shared" si="10"/>
        <v>1.5</v>
      </c>
      <c r="AW23" s="131">
        <f t="shared" si="10"/>
        <v>0</v>
      </c>
      <c r="AX23" s="131">
        <f t="shared" si="10"/>
        <v>0</v>
      </c>
      <c r="AY23" s="131">
        <f t="shared" si="10"/>
        <v>1.5</v>
      </c>
      <c r="AZ23" s="131">
        <f t="shared" si="10"/>
        <v>0</v>
      </c>
      <c r="BA23" s="131">
        <f t="shared" si="10"/>
        <v>0</v>
      </c>
      <c r="BB23" s="131">
        <f t="shared" si="10"/>
        <v>0</v>
      </c>
      <c r="BC23" s="131">
        <f t="shared" si="10"/>
        <v>0</v>
      </c>
      <c r="BD23" s="131">
        <f t="shared" si="10"/>
        <v>0</v>
      </c>
      <c r="BE23" s="131">
        <f t="shared" si="10"/>
        <v>0.5</v>
      </c>
      <c r="BF23" s="131">
        <f t="shared" si="10"/>
        <v>0</v>
      </c>
      <c r="BG23" s="131">
        <f t="shared" si="10"/>
        <v>0</v>
      </c>
      <c r="BH23" s="131">
        <f t="shared" si="10"/>
        <v>1</v>
      </c>
      <c r="BI23" s="131">
        <f t="shared" si="10"/>
        <v>0</v>
      </c>
      <c r="BJ23" s="131">
        <f t="shared" si="10"/>
        <v>0</v>
      </c>
      <c r="BK23" s="131">
        <f t="shared" si="10"/>
        <v>1.5</v>
      </c>
      <c r="BL23" s="131">
        <f t="shared" si="10"/>
        <v>0</v>
      </c>
      <c r="BM23" s="131">
        <f t="shared" si="10"/>
        <v>0</v>
      </c>
      <c r="BN23" s="131">
        <f t="shared" si="10"/>
        <v>1.5</v>
      </c>
      <c r="BO23" s="131">
        <f t="shared" ref="BO23:CX23" si="11">SUM(BO24:BO25)</f>
        <v>0</v>
      </c>
      <c r="BP23" s="131">
        <f t="shared" si="11"/>
        <v>0</v>
      </c>
      <c r="BQ23" s="131">
        <f t="shared" si="11"/>
        <v>0.5</v>
      </c>
      <c r="BR23" s="131">
        <f t="shared" si="11"/>
        <v>0</v>
      </c>
      <c r="BS23" s="131">
        <f t="shared" si="11"/>
        <v>0</v>
      </c>
      <c r="BT23" s="131">
        <f t="shared" si="11"/>
        <v>1.5</v>
      </c>
      <c r="BU23" s="131">
        <f t="shared" si="11"/>
        <v>0</v>
      </c>
      <c r="BV23" s="131">
        <f t="shared" si="11"/>
        <v>0</v>
      </c>
      <c r="BW23" s="131">
        <f t="shared" si="11"/>
        <v>1.5</v>
      </c>
      <c r="BX23" s="131">
        <f t="shared" si="11"/>
        <v>0</v>
      </c>
      <c r="BY23" s="131">
        <f t="shared" si="11"/>
        <v>0</v>
      </c>
      <c r="BZ23" s="131">
        <f t="shared" si="11"/>
        <v>1.5</v>
      </c>
      <c r="CA23" s="131">
        <f t="shared" si="11"/>
        <v>0</v>
      </c>
      <c r="CB23" s="131">
        <f t="shared" si="11"/>
        <v>0</v>
      </c>
      <c r="CC23" s="131">
        <f t="shared" si="11"/>
        <v>1.5</v>
      </c>
      <c r="CD23" s="131">
        <f t="shared" si="11"/>
        <v>0</v>
      </c>
      <c r="CE23" s="131">
        <f t="shared" si="11"/>
        <v>0</v>
      </c>
      <c r="CF23" s="131">
        <f t="shared" si="11"/>
        <v>1.5</v>
      </c>
      <c r="CG23" s="131">
        <f t="shared" si="11"/>
        <v>0</v>
      </c>
      <c r="CH23" s="131">
        <f t="shared" si="11"/>
        <v>0</v>
      </c>
      <c r="CI23" s="131">
        <f t="shared" si="11"/>
        <v>1.5</v>
      </c>
      <c r="CJ23" s="131">
        <f t="shared" si="11"/>
        <v>0</v>
      </c>
      <c r="CK23" s="131">
        <f t="shared" si="11"/>
        <v>0</v>
      </c>
      <c r="CL23" s="131">
        <f t="shared" si="11"/>
        <v>1.5</v>
      </c>
      <c r="CM23" s="131">
        <f t="shared" si="11"/>
        <v>0</v>
      </c>
      <c r="CN23" s="131">
        <f t="shared" si="11"/>
        <v>0</v>
      </c>
      <c r="CO23" s="131">
        <f t="shared" si="11"/>
        <v>1.5</v>
      </c>
      <c r="CP23" s="131">
        <f t="shared" si="11"/>
        <v>0</v>
      </c>
      <c r="CQ23" s="131">
        <f t="shared" si="11"/>
        <v>0</v>
      </c>
      <c r="CR23" s="131">
        <f t="shared" si="11"/>
        <v>1.5</v>
      </c>
      <c r="CS23" s="131">
        <f t="shared" si="11"/>
        <v>0</v>
      </c>
      <c r="CT23" s="131">
        <f t="shared" si="11"/>
        <v>0</v>
      </c>
      <c r="CU23" s="131">
        <f t="shared" si="11"/>
        <v>0</v>
      </c>
      <c r="CV23" s="131">
        <f t="shared" si="11"/>
        <v>0</v>
      </c>
      <c r="CW23" s="131">
        <f t="shared" si="11"/>
        <v>0</v>
      </c>
      <c r="CX23" s="131">
        <f t="shared" si="11"/>
        <v>0.5</v>
      </c>
      <c r="CY23" s="132"/>
      <c r="CZ23" s="132"/>
    </row>
    <row r="24" spans="1:104">
      <c r="A24" s="133" t="s">
        <v>806</v>
      </c>
      <c r="B24" s="134">
        <v>0.5</v>
      </c>
      <c r="C24" s="135">
        <v>0.5</v>
      </c>
      <c r="D24" s="136" t="s">
        <v>932</v>
      </c>
      <c r="E24" s="135" t="s">
        <v>808</v>
      </c>
      <c r="F24" s="135">
        <v>0.5</v>
      </c>
      <c r="G24" s="136" t="s">
        <v>933</v>
      </c>
      <c r="H24" s="135" t="s">
        <v>810</v>
      </c>
      <c r="I24" s="135">
        <v>0.5</v>
      </c>
      <c r="J24" s="136" t="s">
        <v>934</v>
      </c>
      <c r="K24" s="137" t="s">
        <v>935</v>
      </c>
      <c r="L24" s="135">
        <v>0.5</v>
      </c>
      <c r="M24" s="136" t="s">
        <v>936</v>
      </c>
      <c r="N24" s="137" t="s">
        <v>937</v>
      </c>
      <c r="O24" s="135">
        <v>0.5</v>
      </c>
      <c r="P24" s="136" t="s">
        <v>938</v>
      </c>
      <c r="Q24" s="135" t="s">
        <v>816</v>
      </c>
      <c r="R24" s="135">
        <v>0.5</v>
      </c>
      <c r="S24" s="136" t="s">
        <v>939</v>
      </c>
      <c r="T24" s="135" t="s">
        <v>830</v>
      </c>
      <c r="U24" s="135">
        <v>0</v>
      </c>
      <c r="V24" s="141" t="s">
        <v>869</v>
      </c>
      <c r="W24" s="141" t="s">
        <v>869</v>
      </c>
      <c r="X24" s="135">
        <v>0.5</v>
      </c>
      <c r="Y24" s="136" t="s">
        <v>940</v>
      </c>
      <c r="Z24" s="135" t="s">
        <v>822</v>
      </c>
      <c r="AA24" s="135">
        <v>0.5</v>
      </c>
      <c r="AB24" s="136" t="s">
        <v>941</v>
      </c>
      <c r="AC24" s="137" t="s">
        <v>942</v>
      </c>
      <c r="AD24" s="135">
        <v>0.5</v>
      </c>
      <c r="AE24" s="136" t="s">
        <v>943</v>
      </c>
      <c r="AF24" s="135" t="s">
        <v>826</v>
      </c>
      <c r="AG24" s="135">
        <v>0.5</v>
      </c>
      <c r="AH24" s="136" t="s">
        <v>944</v>
      </c>
      <c r="AI24" s="135" t="s">
        <v>828</v>
      </c>
      <c r="AJ24" s="135">
        <v>0.5</v>
      </c>
      <c r="AK24" s="136" t="s">
        <v>939</v>
      </c>
      <c r="AL24" s="135" t="s">
        <v>830</v>
      </c>
      <c r="AM24" s="135">
        <v>0.5</v>
      </c>
      <c r="AN24" s="136" t="s">
        <v>945</v>
      </c>
      <c r="AO24" s="135" t="s">
        <v>832</v>
      </c>
      <c r="AP24" s="135">
        <v>0.5</v>
      </c>
      <c r="AQ24" s="136" t="s">
        <v>833</v>
      </c>
      <c r="AR24" s="135" t="s">
        <v>834</v>
      </c>
      <c r="AS24" s="135">
        <v>0.5</v>
      </c>
      <c r="AT24" s="136" t="s">
        <v>946</v>
      </c>
      <c r="AU24" s="135" t="s">
        <v>836</v>
      </c>
      <c r="AV24" s="135">
        <v>0.5</v>
      </c>
      <c r="AW24" s="136" t="s">
        <v>947</v>
      </c>
      <c r="AX24" s="137" t="s">
        <v>948</v>
      </c>
      <c r="AY24" s="135">
        <v>0.5</v>
      </c>
      <c r="AZ24" s="136" t="s">
        <v>949</v>
      </c>
      <c r="BA24" s="135" t="s">
        <v>840</v>
      </c>
      <c r="BB24" s="135">
        <v>0</v>
      </c>
      <c r="BC24" s="141" t="s">
        <v>869</v>
      </c>
      <c r="BD24" s="141" t="s">
        <v>869</v>
      </c>
      <c r="BE24" s="135">
        <v>0.5</v>
      </c>
      <c r="BF24" s="136" t="s">
        <v>950</v>
      </c>
      <c r="BG24" s="136" t="s">
        <v>808</v>
      </c>
      <c r="BH24" s="135">
        <v>0</v>
      </c>
      <c r="BI24" s="141" t="s">
        <v>869</v>
      </c>
      <c r="BJ24" s="141" t="s">
        <v>869</v>
      </c>
      <c r="BK24" s="135">
        <v>0.5</v>
      </c>
      <c r="BL24" s="136" t="s">
        <v>951</v>
      </c>
      <c r="BM24" s="138" t="s">
        <v>952</v>
      </c>
      <c r="BN24" s="135">
        <v>0.5</v>
      </c>
      <c r="BO24" s="136" t="s">
        <v>953</v>
      </c>
      <c r="BP24" s="136" t="s">
        <v>954</v>
      </c>
      <c r="BQ24" s="135">
        <v>0.5</v>
      </c>
      <c r="BR24" s="136" t="s">
        <v>955</v>
      </c>
      <c r="BS24" s="135" t="s">
        <v>850</v>
      </c>
      <c r="BT24" s="135">
        <v>0.5</v>
      </c>
      <c r="BU24" s="139" t="s">
        <v>956</v>
      </c>
      <c r="BV24" s="135" t="s">
        <v>852</v>
      </c>
      <c r="BW24" s="135">
        <v>0.5</v>
      </c>
      <c r="BX24" s="136" t="s">
        <v>957</v>
      </c>
      <c r="BY24" s="137" t="s">
        <v>854</v>
      </c>
      <c r="BZ24" s="135">
        <v>0.5</v>
      </c>
      <c r="CA24" s="136" t="s">
        <v>958</v>
      </c>
      <c r="CB24" s="137" t="s">
        <v>856</v>
      </c>
      <c r="CC24" s="135">
        <v>0.5</v>
      </c>
      <c r="CD24" s="159" t="s">
        <v>959</v>
      </c>
      <c r="CE24" s="135" t="s">
        <v>280</v>
      </c>
      <c r="CF24" s="135">
        <v>0.5</v>
      </c>
      <c r="CG24" s="160" t="s">
        <v>960</v>
      </c>
      <c r="CH24" s="138" t="s">
        <v>860</v>
      </c>
      <c r="CI24" s="135">
        <v>0.5</v>
      </c>
      <c r="CJ24" s="136" t="s">
        <v>961</v>
      </c>
      <c r="CK24" s="135" t="s">
        <v>882</v>
      </c>
      <c r="CL24" s="135">
        <v>0.5</v>
      </c>
      <c r="CM24" s="136" t="s">
        <v>962</v>
      </c>
      <c r="CN24" s="136" t="s">
        <v>963</v>
      </c>
      <c r="CO24" s="135">
        <v>0.5</v>
      </c>
      <c r="CP24" s="136" t="s">
        <v>964</v>
      </c>
      <c r="CQ24" s="137" t="s">
        <v>965</v>
      </c>
      <c r="CR24" s="135">
        <v>0.5</v>
      </c>
      <c r="CS24" s="136" t="s">
        <v>867</v>
      </c>
      <c r="CT24" s="135" t="s">
        <v>868</v>
      </c>
      <c r="CU24" s="135">
        <v>0</v>
      </c>
      <c r="CV24" s="141" t="s">
        <v>869</v>
      </c>
      <c r="CW24" s="141" t="s">
        <v>869</v>
      </c>
      <c r="CX24" s="135">
        <v>0.5</v>
      </c>
      <c r="CY24" s="136" t="s">
        <v>870</v>
      </c>
      <c r="CZ24" s="138" t="s">
        <v>871</v>
      </c>
    </row>
    <row r="25" spans="1:104">
      <c r="A25" s="133" t="s">
        <v>966</v>
      </c>
      <c r="B25" s="149">
        <v>1</v>
      </c>
      <c r="C25" s="161">
        <v>1</v>
      </c>
      <c r="D25" s="149"/>
      <c r="E25" s="149"/>
      <c r="F25" s="161">
        <v>1</v>
      </c>
      <c r="G25" s="149"/>
      <c r="H25" s="149"/>
      <c r="I25" s="161">
        <v>1</v>
      </c>
      <c r="J25" s="149"/>
      <c r="K25" s="149"/>
      <c r="L25" s="161">
        <v>1</v>
      </c>
      <c r="M25" s="149"/>
      <c r="N25" s="149"/>
      <c r="O25" s="132">
        <v>1</v>
      </c>
      <c r="P25" s="149"/>
      <c r="Q25" s="149"/>
      <c r="R25" s="161">
        <v>1</v>
      </c>
      <c r="S25" s="149"/>
      <c r="T25" s="149"/>
      <c r="U25" s="161">
        <v>1</v>
      </c>
      <c r="V25" s="149"/>
      <c r="W25" s="149"/>
      <c r="X25" s="161">
        <v>1</v>
      </c>
      <c r="Y25" s="149"/>
      <c r="Z25" s="161"/>
      <c r="AA25" s="161">
        <v>1</v>
      </c>
      <c r="AB25" s="149"/>
      <c r="AC25" s="149"/>
      <c r="AD25" s="161">
        <v>1</v>
      </c>
      <c r="AE25" s="149"/>
      <c r="AF25" s="161"/>
      <c r="AG25" s="161">
        <v>0</v>
      </c>
      <c r="AH25" s="149"/>
      <c r="AI25" s="149"/>
      <c r="AJ25" s="161">
        <v>1</v>
      </c>
      <c r="AK25" s="149"/>
      <c r="AL25" s="149"/>
      <c r="AM25" s="161">
        <v>1</v>
      </c>
      <c r="AN25" s="149"/>
      <c r="AO25" s="161"/>
      <c r="AP25" s="161">
        <v>1</v>
      </c>
      <c r="AQ25" s="149"/>
      <c r="AR25" s="149"/>
      <c r="AS25" s="161">
        <v>1</v>
      </c>
      <c r="AT25" s="149"/>
      <c r="AU25" s="161"/>
      <c r="AV25" s="161">
        <v>1</v>
      </c>
      <c r="AW25" s="149"/>
      <c r="AX25" s="149"/>
      <c r="AY25" s="161">
        <v>1</v>
      </c>
      <c r="AZ25" s="149"/>
      <c r="BA25" s="149"/>
      <c r="BB25" s="161">
        <v>0</v>
      </c>
      <c r="BC25" s="149"/>
      <c r="BD25" s="149"/>
      <c r="BE25" s="161">
        <v>0</v>
      </c>
      <c r="BF25" s="149"/>
      <c r="BG25" s="161"/>
      <c r="BH25" s="161">
        <v>1</v>
      </c>
      <c r="BI25" s="149"/>
      <c r="BJ25" s="149"/>
      <c r="BK25" s="161">
        <v>1</v>
      </c>
      <c r="BL25" s="149"/>
      <c r="BM25" s="149"/>
      <c r="BN25" s="161">
        <v>1</v>
      </c>
      <c r="BO25" s="149"/>
      <c r="BP25" s="149"/>
      <c r="BQ25" s="161">
        <v>0</v>
      </c>
      <c r="BR25" s="149"/>
      <c r="BS25" s="149"/>
      <c r="BT25" s="161">
        <v>1</v>
      </c>
      <c r="BU25" s="149"/>
      <c r="BV25" s="149"/>
      <c r="BW25" s="161">
        <v>1</v>
      </c>
      <c r="BX25" s="149"/>
      <c r="BY25" s="149"/>
      <c r="BZ25" s="161">
        <v>1</v>
      </c>
      <c r="CA25" s="149"/>
      <c r="CB25" s="161"/>
      <c r="CC25" s="161">
        <v>1</v>
      </c>
      <c r="CD25" s="149"/>
      <c r="CE25" s="149"/>
      <c r="CF25" s="161">
        <v>1</v>
      </c>
      <c r="CG25" s="149"/>
      <c r="CH25" s="149"/>
      <c r="CI25" s="161">
        <v>1</v>
      </c>
      <c r="CJ25" s="161"/>
      <c r="CK25" s="161"/>
      <c r="CL25" s="161">
        <v>1</v>
      </c>
      <c r="CM25" s="149"/>
      <c r="CN25" s="149"/>
      <c r="CO25" s="161">
        <v>1</v>
      </c>
      <c r="CP25" s="149"/>
      <c r="CQ25" s="149"/>
      <c r="CR25" s="161">
        <v>1</v>
      </c>
      <c r="CS25" s="149"/>
      <c r="CT25" s="149"/>
      <c r="CU25" s="161">
        <v>0</v>
      </c>
      <c r="CV25" s="149"/>
      <c r="CW25" s="161"/>
      <c r="CX25" s="161">
        <v>0</v>
      </c>
      <c r="CY25" s="161"/>
      <c r="CZ25" s="161"/>
    </row>
    <row r="26" spans="1:104" s="81" customFormat="1">
      <c r="A26" s="158" t="s">
        <v>967</v>
      </c>
      <c r="B26" s="131">
        <f>B27</f>
        <v>0.5</v>
      </c>
      <c r="C26" s="131">
        <f t="shared" ref="C26:BN26" si="12">C27</f>
        <v>0.5</v>
      </c>
      <c r="D26" s="131" t="str">
        <f t="shared" si="12"/>
        <v xml:space="preserve">Boston tracks its progress (although mostly in GHG specifics) and reports it annually on our website.  In addition, see presentation on climate performance measures that goes into detail about our annual GHG reporting </v>
      </c>
      <c r="E26" s="131" t="str">
        <f t="shared" si="12"/>
        <v>http://www.greenribboncommission.org/downloads/GRC%20February%2011%20City%20of%20Boston%20Presentation%20Materials.pdf</v>
      </c>
      <c r="F26" s="131">
        <f t="shared" si="12"/>
        <v>0.5</v>
      </c>
      <c r="G26" s="131" t="str">
        <f t="shared" si="12"/>
        <v>Yes, annual climate action reports</v>
      </c>
      <c r="H26" s="131" t="str">
        <f t="shared" si="12"/>
        <v>http://www.portlandoregon.gov/bps/climate</v>
      </c>
      <c r="I26" s="131">
        <f t="shared" si="12"/>
        <v>0.5</v>
      </c>
      <c r="J26" s="131" t="str">
        <f t="shared" si="12"/>
        <v>Annual Reporting from SF Department of Environment.</v>
      </c>
      <c r="K26" s="131" t="str">
        <f t="shared" si="12"/>
        <v>http://www.sfenvironment.org/sites/default/files/fliers/files/sfe_ou_annualreport_2012sm.pdf</v>
      </c>
      <c r="L26" s="131">
        <f t="shared" si="12"/>
        <v>0.5</v>
      </c>
      <c r="M26" s="131" t="str">
        <f t="shared" si="12"/>
        <v>annual progress reports and inventories</v>
      </c>
      <c r="N26" s="131" t="str">
        <f t="shared" si="12"/>
        <v>http://www.nyc.gov/html/planyc2030/html/publications/publications.shtml</v>
      </c>
      <c r="O26" s="131">
        <f t="shared" si="12"/>
        <v>0.5</v>
      </c>
      <c r="P26" s="131" t="str">
        <f t="shared" si="12"/>
        <v>Annual progress reports. Community-wide GHG inventories every three years, in addition to annual highlights reports.</v>
      </c>
      <c r="Q26" s="131" t="str">
        <f t="shared" si="12"/>
        <v xml:space="preserve">http://www.seattle.gov/environment/documents/2008-community-inventory-fullreport.pdf </v>
      </c>
      <c r="R26" s="131">
        <f t="shared" si="12"/>
        <v>0.5</v>
      </c>
      <c r="S26" s="131" t="str">
        <f t="shared" si="12"/>
        <v xml:space="preserve">we report annually on community wide efficiency targets.  In addition, we complete a community GHG inventory every 3 years, 2007 and 2010 were the last inventories.  Finally, the city of Austin's newly adopted comprehensive plan Imagine Austin has many targets and indicators around reducing community wide GHG emissions.  Future reports on plan implementation will include this data.  </v>
      </c>
      <c r="T26" s="131" t="str">
        <f t="shared" si="12"/>
        <v>http://austintexas.gov/imagineaustin</v>
      </c>
      <c r="U26" s="131">
        <f t="shared" si="12"/>
        <v>0.5</v>
      </c>
      <c r="V26" s="131" t="str">
        <f t="shared" si="12"/>
        <v xml:space="preserve">The Sustainable DC targets were released in February 2013 so work on the tracking system is currently underway, but quarterly updates with an annual full progress report is likely. The city also hosts a green dashboard with publicly available data and a report card included at www.greendashboard@dc.gov. </v>
      </c>
      <c r="W26" s="131" t="str">
        <f t="shared" si="12"/>
        <v>http://sustainable.dc.gov/sites/default/files/dc/sites/sustainable/page_content/attachments/SDC%20Final%20Plan_0.pdf</v>
      </c>
      <c r="X26" s="131">
        <f t="shared" si="12"/>
        <v>0.5</v>
      </c>
      <c r="Y26" s="131" t="str">
        <f t="shared" si="12"/>
        <v>Annual GreenPrint reports</v>
      </c>
      <c r="Z26" s="131" t="str">
        <f t="shared" si="12"/>
        <v>http://www.minneapolismn.gov/sustainability/reports/sustainability_minneapolisgreenprint</v>
      </c>
      <c r="AA26" s="131">
        <f t="shared" si="12"/>
        <v>0.5</v>
      </c>
      <c r="AB26" s="131" t="str">
        <f t="shared" si="12"/>
        <v>Released in late 2012, the Mayor's Office has committed to a 6 month update on Sustainable Chicago 2015 for second quarter this year, with continuing updates at 6 month intervals planned</v>
      </c>
      <c r="AC26" s="131" t="str">
        <f t="shared" si="12"/>
        <v>Aaron Joseph</v>
      </c>
      <c r="AD26" s="131">
        <f t="shared" si="12"/>
        <v>0.5</v>
      </c>
      <c r="AE26" s="131" t="str">
        <f t="shared" si="12"/>
        <v>Greenworks Reports</v>
      </c>
      <c r="AF26" s="131" t="str">
        <f t="shared" si="12"/>
        <v>http://www.phila.gov/green/index.html</v>
      </c>
      <c r="AG26" s="131">
        <f t="shared" si="12"/>
        <v>0.5</v>
      </c>
      <c r="AH26" s="131" t="str">
        <f t="shared" si="12"/>
        <v>Annual or bi-annual reporting; latest GHG inventory was in 2011 (2012 GHG data collection is underway).
The Denver Energy Challenge tracks and releases an internal report on its outcomes on a monthly basis. Period community updates are released when milestones are reached. The latest monthly report and community report are attached.</v>
      </c>
      <c r="AI26" s="131" t="str">
        <f t="shared" si="12"/>
        <v>http://www.greenprintdenver.org/wp-content/uploads/2012/09/GreenPrintReport_FINAL_Spread.pdf</v>
      </c>
      <c r="AJ26" s="131">
        <f t="shared" si="12"/>
        <v>0.5</v>
      </c>
      <c r="AK26" s="131" t="str">
        <f t="shared" si="12"/>
        <v>Sustainability reports track GHG emissions and energy use</v>
      </c>
      <c r="AL26" s="131" t="str">
        <f t="shared" si="12"/>
        <v>http://cleanergreener.highrockhosting2.com/uploads/files/AnnualReport2011web.pdf</v>
      </c>
      <c r="AM26" s="131">
        <f t="shared" si="12"/>
        <v>0</v>
      </c>
      <c r="AN26" s="131" t="str">
        <f t="shared" si="12"/>
        <v>----</v>
      </c>
      <c r="AO26" s="131" t="str">
        <f t="shared" si="12"/>
        <v>----</v>
      </c>
      <c r="AP26" s="131">
        <f t="shared" si="12"/>
        <v>0</v>
      </c>
      <c r="AQ26" s="131" t="str">
        <f t="shared" si="12"/>
        <v>----</v>
      </c>
      <c r="AR26" s="131" t="str">
        <f t="shared" si="12"/>
        <v>----</v>
      </c>
      <c r="AS26" s="131">
        <f t="shared" si="12"/>
        <v>0.5</v>
      </c>
      <c r="AT26" s="131" t="str">
        <f t="shared" si="12"/>
        <v>Sustainability Reports released annually</v>
      </c>
      <c r="AU26" s="131" t="str">
        <f t="shared" si="12"/>
        <v>http://energize.asu.edu/docs/gios/energize/2012year2/EnergizePhoenixYear2Report.pdf</v>
      </c>
      <c r="AV26" s="131">
        <f t="shared" si="12"/>
        <v>0</v>
      </c>
      <c r="AW26" s="131" t="str">
        <f t="shared" si="12"/>
        <v>----</v>
      </c>
      <c r="AX26" s="131" t="str">
        <f t="shared" si="12"/>
        <v>----</v>
      </c>
      <c r="AY26" s="131">
        <f t="shared" si="12"/>
        <v>0</v>
      </c>
      <c r="AZ26" s="131" t="str">
        <f t="shared" si="12"/>
        <v>----</v>
      </c>
      <c r="BA26" s="131" t="str">
        <f t="shared" si="12"/>
        <v>----</v>
      </c>
      <c r="BB26" s="131">
        <f t="shared" si="12"/>
        <v>0</v>
      </c>
      <c r="BC26" s="131" t="str">
        <f t="shared" si="12"/>
        <v>----</v>
      </c>
      <c r="BD26" s="131" t="str">
        <f t="shared" si="12"/>
        <v>----</v>
      </c>
      <c r="BE26" s="131">
        <f t="shared" si="12"/>
        <v>0.5</v>
      </c>
      <c r="BF26" s="131" t="str">
        <f t="shared" si="12"/>
        <v>Annual reports include city-wide progress.   The city studied its baseline greenhouse gas emissions in 2005.</v>
      </c>
      <c r="BG26" s="131" t="str">
        <f t="shared" si="12"/>
        <v>http://columbus.gov/GetGreen/content.aspx?id=41124</v>
      </c>
      <c r="BH26" s="131">
        <f t="shared" si="12"/>
        <v>0</v>
      </c>
      <c r="BI26" s="131" t="str">
        <f t="shared" si="12"/>
        <v>----</v>
      </c>
      <c r="BJ26" s="131" t="str">
        <f t="shared" si="12"/>
        <v>----</v>
      </c>
      <c r="BK26" s="131">
        <f t="shared" si="12"/>
        <v>0</v>
      </c>
      <c r="BL26" s="131" t="str">
        <f t="shared" si="12"/>
        <v>----</v>
      </c>
      <c r="BM26" s="131" t="str">
        <f t="shared" si="12"/>
        <v>----</v>
      </c>
      <c r="BN26" s="131">
        <f t="shared" si="12"/>
        <v>0.5</v>
      </c>
      <c r="BO26" s="131" t="str">
        <f t="shared" ref="BO26:CX26" si="13">BO27</f>
        <v>Yes</v>
      </c>
      <c r="BP26" s="131" t="str">
        <f t="shared" si="13"/>
        <v>Green Vision 2011 Annual Report</v>
      </c>
      <c r="BQ26" s="131">
        <f t="shared" si="13"/>
        <v>0.5</v>
      </c>
      <c r="BR26" s="131" t="str">
        <f t="shared" si="13"/>
        <v>Baseline greenhouse gas survey completed, plus annual reporting.</v>
      </c>
      <c r="BS26" s="131" t="str">
        <f t="shared" si="13"/>
        <v>http://www.elpasotexas.gov/sustainability/reports.asp</v>
      </c>
      <c r="BT26" s="131">
        <f t="shared" si="13"/>
        <v>0</v>
      </c>
      <c r="BU26" s="131" t="str">
        <f t="shared" si="13"/>
        <v>----</v>
      </c>
      <c r="BV26" s="131" t="str">
        <f t="shared" si="13"/>
        <v>----</v>
      </c>
      <c r="BW26" s="131">
        <f t="shared" si="13"/>
        <v>0</v>
      </c>
      <c r="BX26" s="131" t="str">
        <f t="shared" si="13"/>
        <v>----</v>
      </c>
      <c r="BY26" s="131" t="str">
        <f t="shared" si="13"/>
        <v>----</v>
      </c>
      <c r="BZ26" s="131">
        <f t="shared" si="13"/>
        <v>0</v>
      </c>
      <c r="CA26" s="131" t="str">
        <f t="shared" si="13"/>
        <v>----</v>
      </c>
      <c r="CB26" s="131" t="str">
        <f t="shared" si="13"/>
        <v>----</v>
      </c>
      <c r="CC26" s="131">
        <f t="shared" si="13"/>
        <v>0</v>
      </c>
      <c r="CD26" s="131" t="str">
        <f t="shared" si="13"/>
        <v>----</v>
      </c>
      <c r="CE26" s="131" t="str">
        <f t="shared" si="13"/>
        <v>----</v>
      </c>
      <c r="CF26" s="131">
        <f t="shared" si="13"/>
        <v>0</v>
      </c>
      <c r="CG26" s="131" t="str">
        <f t="shared" si="13"/>
        <v>----</v>
      </c>
      <c r="CH26" s="131" t="str">
        <f t="shared" si="13"/>
        <v>----</v>
      </c>
      <c r="CI26" s="131">
        <f t="shared" si="13"/>
        <v>0</v>
      </c>
      <c r="CJ26" s="131" t="str">
        <f t="shared" si="13"/>
        <v>----</v>
      </c>
      <c r="CK26" s="131" t="str">
        <f t="shared" si="13"/>
        <v>----</v>
      </c>
      <c r="CL26" s="131">
        <f t="shared" si="13"/>
        <v>0.5</v>
      </c>
      <c r="CM26" s="131" t="str">
        <f t="shared" si="13"/>
        <v>Yes, annual</v>
      </c>
      <c r="CN26" s="131" t="str">
        <f t="shared" si="13"/>
        <v>Green Resolution</v>
      </c>
      <c r="CO26" s="131">
        <f t="shared" si="13"/>
        <v>0.5</v>
      </c>
      <c r="CP26" s="131" t="str">
        <f t="shared" si="13"/>
        <v>Regular key indicator reporting on website</v>
      </c>
      <c r="CQ26" s="131" t="str">
        <f t="shared" si="13"/>
        <v>http://charmeck.org/mecklenburg/county/LUESA/sustainability/Pages/default.aspx</v>
      </c>
      <c r="CR26" s="131">
        <f t="shared" si="13"/>
        <v>0</v>
      </c>
      <c r="CS26" s="131" t="str">
        <f t="shared" si="13"/>
        <v>----</v>
      </c>
      <c r="CT26" s="131" t="str">
        <f t="shared" si="13"/>
        <v>----</v>
      </c>
      <c r="CU26" s="131">
        <f t="shared" si="13"/>
        <v>0</v>
      </c>
      <c r="CV26" s="131" t="str">
        <f t="shared" si="13"/>
        <v>----</v>
      </c>
      <c r="CW26" s="131" t="str">
        <f t="shared" si="13"/>
        <v>----</v>
      </c>
      <c r="CX26" s="131">
        <f t="shared" si="13"/>
        <v>0</v>
      </c>
      <c r="CY26" s="132"/>
      <c r="CZ26" s="132"/>
    </row>
    <row r="27" spans="1:104">
      <c r="A27" s="133" t="s">
        <v>283</v>
      </c>
      <c r="B27" s="134">
        <v>0.5</v>
      </c>
      <c r="C27" s="135">
        <v>0.5</v>
      </c>
      <c r="D27" s="136" t="s">
        <v>968</v>
      </c>
      <c r="E27" s="137" t="s">
        <v>969</v>
      </c>
      <c r="F27" s="135">
        <v>0.5</v>
      </c>
      <c r="G27" s="136" t="s">
        <v>970</v>
      </c>
      <c r="H27" s="137" t="s">
        <v>971</v>
      </c>
      <c r="I27" s="135">
        <v>0.5</v>
      </c>
      <c r="J27" s="136" t="s">
        <v>972</v>
      </c>
      <c r="K27" s="137" t="s">
        <v>935</v>
      </c>
      <c r="L27" s="135">
        <v>0.5</v>
      </c>
      <c r="M27" s="135" t="s">
        <v>973</v>
      </c>
      <c r="N27" s="137" t="s">
        <v>279</v>
      </c>
      <c r="O27" s="135">
        <v>0.5</v>
      </c>
      <c r="P27" s="136" t="s">
        <v>974</v>
      </c>
      <c r="Q27" s="137" t="s">
        <v>975</v>
      </c>
      <c r="R27" s="135">
        <v>0.5</v>
      </c>
      <c r="S27" s="136" t="s">
        <v>976</v>
      </c>
      <c r="T27" s="137" t="s">
        <v>977</v>
      </c>
      <c r="U27" s="135">
        <v>0.5</v>
      </c>
      <c r="V27" s="136" t="s">
        <v>978</v>
      </c>
      <c r="W27" s="137" t="s">
        <v>873</v>
      </c>
      <c r="X27" s="135">
        <v>0.5</v>
      </c>
      <c r="Y27" s="136" t="s">
        <v>979</v>
      </c>
      <c r="Z27" s="137" t="s">
        <v>980</v>
      </c>
      <c r="AA27" s="135">
        <v>0.5</v>
      </c>
      <c r="AB27" s="136" t="s">
        <v>981</v>
      </c>
      <c r="AC27" s="135" t="s">
        <v>824</v>
      </c>
      <c r="AD27" s="135">
        <v>0.5</v>
      </c>
      <c r="AE27" s="135" t="s">
        <v>982</v>
      </c>
      <c r="AF27" s="137" t="s">
        <v>285</v>
      </c>
      <c r="AG27" s="135">
        <v>0.5</v>
      </c>
      <c r="AH27" s="136" t="s">
        <v>983</v>
      </c>
      <c r="AI27" s="137" t="s">
        <v>286</v>
      </c>
      <c r="AJ27" s="135">
        <v>0.5</v>
      </c>
      <c r="AK27" s="136" t="s">
        <v>984</v>
      </c>
      <c r="AL27" s="137" t="s">
        <v>985</v>
      </c>
      <c r="AM27" s="135">
        <v>0</v>
      </c>
      <c r="AN27" s="141" t="s">
        <v>869</v>
      </c>
      <c r="AO27" s="141" t="s">
        <v>869</v>
      </c>
      <c r="AP27" s="135">
        <v>0</v>
      </c>
      <c r="AQ27" s="141" t="s">
        <v>869</v>
      </c>
      <c r="AR27" s="141" t="s">
        <v>869</v>
      </c>
      <c r="AS27" s="135">
        <v>0.5</v>
      </c>
      <c r="AT27" s="152" t="s">
        <v>986</v>
      </c>
      <c r="AU27" s="137" t="s">
        <v>987</v>
      </c>
      <c r="AV27" s="135">
        <v>0</v>
      </c>
      <c r="AW27" s="141" t="s">
        <v>869</v>
      </c>
      <c r="AX27" s="141" t="s">
        <v>869</v>
      </c>
      <c r="AY27" s="135">
        <v>0</v>
      </c>
      <c r="AZ27" s="141" t="s">
        <v>869</v>
      </c>
      <c r="BA27" s="141" t="s">
        <v>869</v>
      </c>
      <c r="BB27" s="135">
        <v>0</v>
      </c>
      <c r="BC27" s="141" t="s">
        <v>869</v>
      </c>
      <c r="BD27" s="141" t="s">
        <v>869</v>
      </c>
      <c r="BE27" s="135">
        <v>0.5</v>
      </c>
      <c r="BF27" s="136" t="s">
        <v>988</v>
      </c>
      <c r="BG27" s="137" t="s">
        <v>742</v>
      </c>
      <c r="BH27" s="135">
        <v>0</v>
      </c>
      <c r="BI27" s="141" t="s">
        <v>869</v>
      </c>
      <c r="BJ27" s="141" t="s">
        <v>869</v>
      </c>
      <c r="BK27" s="135">
        <v>0</v>
      </c>
      <c r="BL27" s="141" t="s">
        <v>869</v>
      </c>
      <c r="BM27" s="141" t="s">
        <v>869</v>
      </c>
      <c r="BN27" s="135">
        <v>0.5</v>
      </c>
      <c r="BO27" s="152" t="s">
        <v>884</v>
      </c>
      <c r="BP27" s="135" t="s">
        <v>954</v>
      </c>
      <c r="BQ27" s="135">
        <v>0.5</v>
      </c>
      <c r="BR27" s="136" t="s">
        <v>989</v>
      </c>
      <c r="BS27" s="137" t="s">
        <v>287</v>
      </c>
      <c r="BT27" s="135">
        <v>0</v>
      </c>
      <c r="BU27" s="141" t="s">
        <v>869</v>
      </c>
      <c r="BV27" s="141" t="s">
        <v>869</v>
      </c>
      <c r="BW27" s="135">
        <v>0</v>
      </c>
      <c r="BX27" s="141" t="s">
        <v>869</v>
      </c>
      <c r="BY27" s="141" t="s">
        <v>869</v>
      </c>
      <c r="BZ27" s="135">
        <v>0</v>
      </c>
      <c r="CA27" s="141" t="s">
        <v>869</v>
      </c>
      <c r="CB27" s="141" t="s">
        <v>869</v>
      </c>
      <c r="CC27" s="135">
        <v>0</v>
      </c>
      <c r="CD27" s="141" t="s">
        <v>869</v>
      </c>
      <c r="CE27" s="141" t="s">
        <v>869</v>
      </c>
      <c r="CF27" s="135">
        <v>0</v>
      </c>
      <c r="CG27" s="141" t="s">
        <v>869</v>
      </c>
      <c r="CH27" s="141" t="s">
        <v>869</v>
      </c>
      <c r="CI27" s="135">
        <v>0</v>
      </c>
      <c r="CJ27" s="141" t="s">
        <v>869</v>
      </c>
      <c r="CK27" s="141" t="s">
        <v>869</v>
      </c>
      <c r="CL27" s="135">
        <v>0.5</v>
      </c>
      <c r="CM27" s="152" t="s">
        <v>990</v>
      </c>
      <c r="CN27" s="136" t="s">
        <v>963</v>
      </c>
      <c r="CO27" s="135">
        <v>0.5</v>
      </c>
      <c r="CP27" s="136" t="s">
        <v>991</v>
      </c>
      <c r="CQ27" s="137" t="s">
        <v>992</v>
      </c>
      <c r="CR27" s="135">
        <v>0</v>
      </c>
      <c r="CS27" s="141" t="s">
        <v>869</v>
      </c>
      <c r="CT27" s="141" t="s">
        <v>869</v>
      </c>
      <c r="CU27" s="135">
        <v>0</v>
      </c>
      <c r="CV27" s="141" t="s">
        <v>869</v>
      </c>
      <c r="CW27" s="141" t="s">
        <v>869</v>
      </c>
      <c r="CX27" s="135">
        <v>0</v>
      </c>
      <c r="CY27" s="141" t="s">
        <v>869</v>
      </c>
      <c r="CZ27" s="141" t="s">
        <v>869</v>
      </c>
    </row>
    <row r="28" spans="1:104" s="81" customFormat="1">
      <c r="A28" s="158" t="s">
        <v>993</v>
      </c>
      <c r="B28" s="131">
        <f>SUM(B29:B32)</f>
        <v>8</v>
      </c>
      <c r="C28" s="131">
        <f t="shared" ref="C28:BN28" si="14">SUM(C29:C32)</f>
        <v>7.5</v>
      </c>
      <c r="D28" s="131">
        <f t="shared" si="14"/>
        <v>0</v>
      </c>
      <c r="E28" s="131">
        <f t="shared" si="14"/>
        <v>0</v>
      </c>
      <c r="F28" s="131">
        <f t="shared" si="14"/>
        <v>5.5</v>
      </c>
      <c r="G28" s="131">
        <f t="shared" si="14"/>
        <v>0</v>
      </c>
      <c r="H28" s="131">
        <f t="shared" si="14"/>
        <v>0</v>
      </c>
      <c r="I28" s="131">
        <f t="shared" si="14"/>
        <v>6</v>
      </c>
      <c r="J28" s="131">
        <f t="shared" si="14"/>
        <v>0</v>
      </c>
      <c r="K28" s="131">
        <f t="shared" si="14"/>
        <v>0</v>
      </c>
      <c r="L28" s="131">
        <f t="shared" si="14"/>
        <v>7</v>
      </c>
      <c r="M28" s="131">
        <f t="shared" si="14"/>
        <v>0</v>
      </c>
      <c r="N28" s="131">
        <f t="shared" si="14"/>
        <v>0</v>
      </c>
      <c r="O28" s="131">
        <f t="shared" si="14"/>
        <v>4</v>
      </c>
      <c r="P28" s="131">
        <f t="shared" si="14"/>
        <v>0</v>
      </c>
      <c r="Q28" s="131">
        <f t="shared" si="14"/>
        <v>0</v>
      </c>
      <c r="R28" s="131">
        <f t="shared" si="14"/>
        <v>7</v>
      </c>
      <c r="S28" s="131">
        <f t="shared" si="14"/>
        <v>0</v>
      </c>
      <c r="T28" s="131">
        <f t="shared" si="14"/>
        <v>0</v>
      </c>
      <c r="U28" s="131">
        <f t="shared" si="14"/>
        <v>2.5</v>
      </c>
      <c r="V28" s="131">
        <f t="shared" si="14"/>
        <v>0</v>
      </c>
      <c r="W28" s="131">
        <f t="shared" si="14"/>
        <v>0</v>
      </c>
      <c r="X28" s="131">
        <f t="shared" si="14"/>
        <v>4.5</v>
      </c>
      <c r="Y28" s="131">
        <f t="shared" si="14"/>
        <v>0</v>
      </c>
      <c r="Z28" s="131">
        <f t="shared" si="14"/>
        <v>0</v>
      </c>
      <c r="AA28" s="131">
        <f t="shared" si="14"/>
        <v>6</v>
      </c>
      <c r="AB28" s="131">
        <f t="shared" si="14"/>
        <v>0</v>
      </c>
      <c r="AC28" s="131">
        <f t="shared" si="14"/>
        <v>0</v>
      </c>
      <c r="AD28" s="131">
        <f t="shared" si="14"/>
        <v>6.5</v>
      </c>
      <c r="AE28" s="131">
        <f t="shared" si="14"/>
        <v>0</v>
      </c>
      <c r="AF28" s="131">
        <f t="shared" si="14"/>
        <v>0</v>
      </c>
      <c r="AG28" s="131">
        <f t="shared" si="14"/>
        <v>6.5</v>
      </c>
      <c r="AH28" s="131">
        <f t="shared" si="14"/>
        <v>0</v>
      </c>
      <c r="AI28" s="131">
        <f t="shared" si="14"/>
        <v>0</v>
      </c>
      <c r="AJ28" s="131">
        <f t="shared" si="14"/>
        <v>6</v>
      </c>
      <c r="AK28" s="131">
        <f t="shared" si="14"/>
        <v>0</v>
      </c>
      <c r="AL28" s="131">
        <f t="shared" si="14"/>
        <v>0</v>
      </c>
      <c r="AM28" s="131">
        <f t="shared" si="14"/>
        <v>4.5</v>
      </c>
      <c r="AN28" s="131">
        <f t="shared" si="14"/>
        <v>0</v>
      </c>
      <c r="AO28" s="131">
        <f t="shared" si="14"/>
        <v>0</v>
      </c>
      <c r="AP28" s="131">
        <f t="shared" si="14"/>
        <v>4.5</v>
      </c>
      <c r="AQ28" s="131">
        <f t="shared" si="14"/>
        <v>0</v>
      </c>
      <c r="AR28" s="131">
        <f t="shared" si="14"/>
        <v>0</v>
      </c>
      <c r="AS28" s="131">
        <f t="shared" si="14"/>
        <v>2.5</v>
      </c>
      <c r="AT28" s="131">
        <f t="shared" si="14"/>
        <v>0</v>
      </c>
      <c r="AU28" s="131">
        <f t="shared" si="14"/>
        <v>0</v>
      </c>
      <c r="AV28" s="131">
        <f t="shared" si="14"/>
        <v>4.5</v>
      </c>
      <c r="AW28" s="131">
        <f t="shared" si="14"/>
        <v>0</v>
      </c>
      <c r="AX28" s="131">
        <f t="shared" si="14"/>
        <v>0</v>
      </c>
      <c r="AY28" s="131">
        <f t="shared" si="14"/>
        <v>4.5</v>
      </c>
      <c r="AZ28" s="131">
        <f t="shared" si="14"/>
        <v>0</v>
      </c>
      <c r="BA28" s="131">
        <f t="shared" si="14"/>
        <v>0</v>
      </c>
      <c r="BB28" s="131">
        <f t="shared" si="14"/>
        <v>4.5</v>
      </c>
      <c r="BC28" s="131">
        <f t="shared" si="14"/>
        <v>0</v>
      </c>
      <c r="BD28" s="131">
        <f t="shared" si="14"/>
        <v>0</v>
      </c>
      <c r="BE28" s="131">
        <f t="shared" si="14"/>
        <v>1</v>
      </c>
      <c r="BF28" s="131">
        <f t="shared" si="14"/>
        <v>0</v>
      </c>
      <c r="BG28" s="131">
        <f t="shared" si="14"/>
        <v>0</v>
      </c>
      <c r="BH28" s="131">
        <f t="shared" si="14"/>
        <v>5</v>
      </c>
      <c r="BI28" s="131">
        <f t="shared" si="14"/>
        <v>0</v>
      </c>
      <c r="BJ28" s="131">
        <f t="shared" si="14"/>
        <v>0</v>
      </c>
      <c r="BK28" s="131">
        <f t="shared" si="14"/>
        <v>4</v>
      </c>
      <c r="BL28" s="131">
        <f t="shared" si="14"/>
        <v>0</v>
      </c>
      <c r="BM28" s="131">
        <f t="shared" si="14"/>
        <v>0</v>
      </c>
      <c r="BN28" s="131">
        <f t="shared" si="14"/>
        <v>4</v>
      </c>
      <c r="BO28" s="131">
        <f t="shared" ref="BO28:CX28" si="15">SUM(BO29:BO32)</f>
        <v>0</v>
      </c>
      <c r="BP28" s="131">
        <f t="shared" si="15"/>
        <v>0</v>
      </c>
      <c r="BQ28" s="131">
        <f t="shared" si="15"/>
        <v>3.5</v>
      </c>
      <c r="BR28" s="131">
        <f t="shared" si="15"/>
        <v>0</v>
      </c>
      <c r="BS28" s="131">
        <f t="shared" si="15"/>
        <v>0</v>
      </c>
      <c r="BT28" s="131">
        <f t="shared" si="15"/>
        <v>5.5</v>
      </c>
      <c r="BU28" s="131">
        <f t="shared" si="15"/>
        <v>0</v>
      </c>
      <c r="BV28" s="131">
        <f t="shared" si="15"/>
        <v>0</v>
      </c>
      <c r="BW28" s="131">
        <f t="shared" si="15"/>
        <v>5</v>
      </c>
      <c r="BX28" s="131">
        <f t="shared" si="15"/>
        <v>0</v>
      </c>
      <c r="BY28" s="131">
        <f t="shared" si="15"/>
        <v>0</v>
      </c>
      <c r="BZ28" s="131">
        <f t="shared" si="15"/>
        <v>5</v>
      </c>
      <c r="CA28" s="131">
        <f t="shared" si="15"/>
        <v>0</v>
      </c>
      <c r="CB28" s="131">
        <f t="shared" si="15"/>
        <v>0</v>
      </c>
      <c r="CC28" s="131">
        <f t="shared" si="15"/>
        <v>5</v>
      </c>
      <c r="CD28" s="131">
        <f t="shared" si="15"/>
        <v>0</v>
      </c>
      <c r="CE28" s="131">
        <f t="shared" si="15"/>
        <v>0</v>
      </c>
      <c r="CF28" s="131">
        <f t="shared" si="15"/>
        <v>2.5</v>
      </c>
      <c r="CG28" s="131">
        <f t="shared" si="15"/>
        <v>0</v>
      </c>
      <c r="CH28" s="131">
        <f t="shared" si="15"/>
        <v>0</v>
      </c>
      <c r="CI28" s="131">
        <f t="shared" si="15"/>
        <v>1.5</v>
      </c>
      <c r="CJ28" s="131">
        <f t="shared" si="15"/>
        <v>0</v>
      </c>
      <c r="CK28" s="131">
        <f t="shared" si="15"/>
        <v>0</v>
      </c>
      <c r="CL28" s="131">
        <f t="shared" si="15"/>
        <v>2.5</v>
      </c>
      <c r="CM28" s="131">
        <f t="shared" si="15"/>
        <v>0</v>
      </c>
      <c r="CN28" s="131">
        <f t="shared" si="15"/>
        <v>0</v>
      </c>
      <c r="CO28" s="131">
        <f t="shared" si="15"/>
        <v>0.5</v>
      </c>
      <c r="CP28" s="131">
        <f t="shared" si="15"/>
        <v>0</v>
      </c>
      <c r="CQ28" s="131">
        <f t="shared" si="15"/>
        <v>0</v>
      </c>
      <c r="CR28" s="131">
        <f t="shared" si="15"/>
        <v>2</v>
      </c>
      <c r="CS28" s="131">
        <f t="shared" si="15"/>
        <v>0</v>
      </c>
      <c r="CT28" s="131">
        <f t="shared" si="15"/>
        <v>0</v>
      </c>
      <c r="CU28" s="131">
        <f t="shared" si="15"/>
        <v>3</v>
      </c>
      <c r="CV28" s="131">
        <f t="shared" si="15"/>
        <v>0</v>
      </c>
      <c r="CW28" s="131">
        <f t="shared" si="15"/>
        <v>0</v>
      </c>
      <c r="CX28" s="131">
        <f t="shared" si="15"/>
        <v>2.5</v>
      </c>
      <c r="CY28" s="132"/>
      <c r="CZ28" s="132"/>
    </row>
    <row r="29" spans="1:104" ht="15.75">
      <c r="A29" s="133" t="s">
        <v>994</v>
      </c>
      <c r="B29" s="149">
        <v>2</v>
      </c>
      <c r="C29" s="135">
        <v>1.5</v>
      </c>
      <c r="D29" s="162" t="s">
        <v>995</v>
      </c>
      <c r="E29" s="143" t="s">
        <v>996</v>
      </c>
      <c r="F29" s="135">
        <v>2</v>
      </c>
      <c r="G29" s="162" t="s">
        <v>997</v>
      </c>
      <c r="H29" s="143" t="s">
        <v>998</v>
      </c>
      <c r="I29" s="135">
        <v>1.5</v>
      </c>
      <c r="J29" s="162" t="s">
        <v>999</v>
      </c>
      <c r="K29" s="143" t="s">
        <v>1000</v>
      </c>
      <c r="L29" s="135">
        <v>2</v>
      </c>
      <c r="M29" s="162" t="s">
        <v>1001</v>
      </c>
      <c r="N29" s="143" t="s">
        <v>1002</v>
      </c>
      <c r="O29" s="135">
        <v>2</v>
      </c>
      <c r="P29" s="162" t="s">
        <v>1003</v>
      </c>
      <c r="Q29" s="143" t="s">
        <v>1004</v>
      </c>
      <c r="R29" s="135">
        <v>1.5</v>
      </c>
      <c r="S29" s="162" t="s">
        <v>1005</v>
      </c>
      <c r="T29" s="143" t="s">
        <v>1006</v>
      </c>
      <c r="U29" s="135">
        <v>1.5</v>
      </c>
      <c r="V29" s="162" t="s">
        <v>1007</v>
      </c>
      <c r="W29" s="143" t="s">
        <v>1008</v>
      </c>
      <c r="X29" s="135">
        <v>2</v>
      </c>
      <c r="Y29" s="162" t="s">
        <v>1009</v>
      </c>
      <c r="Z29" s="154" t="s">
        <v>1010</v>
      </c>
      <c r="AA29" s="135">
        <v>1.5</v>
      </c>
      <c r="AB29" s="162" t="s">
        <v>1011</v>
      </c>
      <c r="AC29" s="143" t="s">
        <v>1012</v>
      </c>
      <c r="AD29" s="135">
        <v>2</v>
      </c>
      <c r="AE29" s="162" t="s">
        <v>1013</v>
      </c>
      <c r="AF29" s="154" t="s">
        <v>1014</v>
      </c>
      <c r="AG29" s="135">
        <v>1.5</v>
      </c>
      <c r="AH29" s="162" t="s">
        <v>1015</v>
      </c>
      <c r="AI29" s="143" t="s">
        <v>1016</v>
      </c>
      <c r="AJ29" s="135">
        <v>1.5</v>
      </c>
      <c r="AK29" s="162" t="s">
        <v>1017</v>
      </c>
      <c r="AL29" s="143" t="s">
        <v>1018</v>
      </c>
      <c r="AM29" s="135">
        <v>0.5</v>
      </c>
      <c r="AN29" s="162" t="s">
        <v>1019</v>
      </c>
      <c r="AO29" s="135" t="s">
        <v>1020</v>
      </c>
      <c r="AP29" s="135">
        <v>1</v>
      </c>
      <c r="AQ29" s="162" t="s">
        <v>1021</v>
      </c>
      <c r="AR29" s="143" t="s">
        <v>1022</v>
      </c>
      <c r="AS29" s="135">
        <v>0.5</v>
      </c>
      <c r="AT29" s="162" t="s">
        <v>1023</v>
      </c>
      <c r="AU29" s="135" t="s">
        <v>1020</v>
      </c>
      <c r="AV29" s="135">
        <v>1.5</v>
      </c>
      <c r="AW29" s="162" t="s">
        <v>1024</v>
      </c>
      <c r="AX29" s="143" t="s">
        <v>1025</v>
      </c>
      <c r="AY29" s="135">
        <v>2</v>
      </c>
      <c r="AZ29" s="162" t="s">
        <v>1026</v>
      </c>
      <c r="BA29" s="143" t="s">
        <v>1027</v>
      </c>
      <c r="BB29" s="135">
        <v>2</v>
      </c>
      <c r="BC29" s="162" t="s">
        <v>1028</v>
      </c>
      <c r="BD29" s="143" t="s">
        <v>1029</v>
      </c>
      <c r="BE29" s="135">
        <v>0.5</v>
      </c>
      <c r="BF29" s="162" t="s">
        <v>1030</v>
      </c>
      <c r="BG29" s="135" t="s">
        <v>1020</v>
      </c>
      <c r="BH29" s="135">
        <v>1</v>
      </c>
      <c r="BI29" s="162" t="s">
        <v>1031</v>
      </c>
      <c r="BJ29" s="143" t="s">
        <v>1032</v>
      </c>
      <c r="BK29" s="135">
        <v>1.5</v>
      </c>
      <c r="BL29" s="162" t="s">
        <v>1033</v>
      </c>
      <c r="BM29" s="143" t="s">
        <v>1102</v>
      </c>
      <c r="BN29" s="135">
        <v>2</v>
      </c>
      <c r="BO29" s="162" t="s">
        <v>1034</v>
      </c>
      <c r="BP29" s="143" t="s">
        <v>879</v>
      </c>
      <c r="BQ29" s="135">
        <v>1</v>
      </c>
      <c r="BR29" s="162" t="s">
        <v>1035</v>
      </c>
      <c r="BS29" s="143" t="s">
        <v>1036</v>
      </c>
      <c r="BT29" s="135">
        <v>1</v>
      </c>
      <c r="BU29" s="162" t="s">
        <v>1037</v>
      </c>
      <c r="BV29" s="143" t="s">
        <v>880</v>
      </c>
      <c r="BW29" s="135">
        <v>1.5</v>
      </c>
      <c r="BX29" s="162" t="s">
        <v>1038</v>
      </c>
      <c r="BY29" s="143" t="s">
        <v>1282</v>
      </c>
      <c r="BZ29" s="135">
        <v>1</v>
      </c>
      <c r="CA29" s="162" t="s">
        <v>1393</v>
      </c>
      <c r="CB29" s="76" t="s">
        <v>1394</v>
      </c>
      <c r="CC29" s="135">
        <v>1.5</v>
      </c>
      <c r="CD29" s="162" t="s">
        <v>1395</v>
      </c>
      <c r="CE29" s="143" t="s">
        <v>1396</v>
      </c>
      <c r="CF29" s="135">
        <v>1</v>
      </c>
      <c r="CG29" s="162" t="s">
        <v>1397</v>
      </c>
      <c r="CH29" s="143" t="s">
        <v>1398</v>
      </c>
      <c r="CI29" s="135">
        <v>0</v>
      </c>
      <c r="CJ29" s="141" t="s">
        <v>869</v>
      </c>
      <c r="CK29" s="141" t="s">
        <v>869</v>
      </c>
      <c r="CL29" s="135">
        <v>1</v>
      </c>
      <c r="CM29" s="162" t="s">
        <v>1399</v>
      </c>
      <c r="CN29" s="143" t="s">
        <v>883</v>
      </c>
      <c r="CO29" s="135">
        <v>0.5</v>
      </c>
      <c r="CP29" s="162" t="s">
        <v>1400</v>
      </c>
      <c r="CQ29" s="143" t="s">
        <v>1401</v>
      </c>
      <c r="CR29" s="135">
        <v>0.5</v>
      </c>
      <c r="CS29" s="162" t="s">
        <v>1402</v>
      </c>
      <c r="CT29" s="143" t="s">
        <v>1403</v>
      </c>
      <c r="CU29" s="135">
        <v>0.5</v>
      </c>
      <c r="CV29" s="162" t="s">
        <v>1404</v>
      </c>
      <c r="CW29" s="141" t="s">
        <v>869</v>
      </c>
      <c r="CX29" s="135">
        <v>0</v>
      </c>
      <c r="CY29" s="141" t="s">
        <v>869</v>
      </c>
      <c r="CZ29" s="141" t="s">
        <v>869</v>
      </c>
    </row>
    <row r="30" spans="1:104">
      <c r="A30" s="133" t="s">
        <v>1405</v>
      </c>
      <c r="B30" s="134">
        <v>2</v>
      </c>
      <c r="C30" s="134">
        <v>2</v>
      </c>
      <c r="D30" s="134">
        <v>0</v>
      </c>
      <c r="E30" s="134">
        <v>0</v>
      </c>
      <c r="F30" s="134">
        <v>2</v>
      </c>
      <c r="G30" s="134">
        <v>0</v>
      </c>
      <c r="H30" s="134">
        <v>0</v>
      </c>
      <c r="I30" s="134">
        <v>2</v>
      </c>
      <c r="J30" s="134">
        <v>0</v>
      </c>
      <c r="K30" s="134">
        <v>0</v>
      </c>
      <c r="L30" s="134">
        <v>1</v>
      </c>
      <c r="M30" s="134">
        <v>0</v>
      </c>
      <c r="N30" s="134">
        <v>0</v>
      </c>
      <c r="O30" s="134">
        <v>1.5</v>
      </c>
      <c r="P30" s="134">
        <v>0</v>
      </c>
      <c r="Q30" s="134">
        <v>0</v>
      </c>
      <c r="R30" s="134">
        <v>2</v>
      </c>
      <c r="S30" s="134">
        <v>0</v>
      </c>
      <c r="T30" s="134">
        <v>0</v>
      </c>
      <c r="U30" s="134">
        <v>0.5</v>
      </c>
      <c r="V30" s="134">
        <v>0</v>
      </c>
      <c r="W30" s="134">
        <v>0</v>
      </c>
      <c r="X30" s="134">
        <v>1</v>
      </c>
      <c r="Y30" s="134">
        <v>0</v>
      </c>
      <c r="Z30" s="134">
        <v>0</v>
      </c>
      <c r="AA30" s="134">
        <v>2</v>
      </c>
      <c r="AB30" s="134">
        <v>0</v>
      </c>
      <c r="AC30" s="134">
        <v>0</v>
      </c>
      <c r="AD30" s="134">
        <v>0.5</v>
      </c>
      <c r="AE30" s="134">
        <v>0</v>
      </c>
      <c r="AF30" s="134">
        <v>0</v>
      </c>
      <c r="AG30" s="134">
        <v>2</v>
      </c>
      <c r="AH30" s="134">
        <v>0</v>
      </c>
      <c r="AI30" s="134">
        <v>0</v>
      </c>
      <c r="AJ30" s="134">
        <v>2</v>
      </c>
      <c r="AK30" s="134">
        <v>0</v>
      </c>
      <c r="AL30" s="134">
        <v>0</v>
      </c>
      <c r="AM30" s="134">
        <v>0</v>
      </c>
      <c r="AN30" s="134">
        <v>0</v>
      </c>
      <c r="AO30" s="134">
        <v>0</v>
      </c>
      <c r="AP30" s="134">
        <v>2</v>
      </c>
      <c r="AQ30" s="134">
        <v>0</v>
      </c>
      <c r="AR30" s="134">
        <v>0</v>
      </c>
      <c r="AS30" s="134">
        <v>1.5</v>
      </c>
      <c r="AT30" s="134">
        <v>0</v>
      </c>
      <c r="AU30" s="134">
        <v>0</v>
      </c>
      <c r="AV30" s="134">
        <v>0.5</v>
      </c>
      <c r="AW30" s="134">
        <v>0</v>
      </c>
      <c r="AX30" s="134">
        <v>0</v>
      </c>
      <c r="AY30" s="134">
        <v>2</v>
      </c>
      <c r="AZ30" s="134">
        <v>0</v>
      </c>
      <c r="BA30" s="134">
        <v>0</v>
      </c>
      <c r="BB30" s="134">
        <v>0</v>
      </c>
      <c r="BC30" s="134">
        <v>0</v>
      </c>
      <c r="BD30" s="134">
        <v>0</v>
      </c>
      <c r="BE30" s="134">
        <v>0</v>
      </c>
      <c r="BF30" s="134">
        <v>0</v>
      </c>
      <c r="BG30" s="134">
        <v>0</v>
      </c>
      <c r="BH30" s="134">
        <v>0</v>
      </c>
      <c r="BI30" s="134">
        <v>0</v>
      </c>
      <c r="BJ30" s="134">
        <v>0</v>
      </c>
      <c r="BK30" s="134">
        <v>1.5</v>
      </c>
      <c r="BL30" s="134">
        <v>0</v>
      </c>
      <c r="BM30" s="134">
        <v>0</v>
      </c>
      <c r="BN30" s="134">
        <v>0.5</v>
      </c>
      <c r="BO30" s="134">
        <v>0</v>
      </c>
      <c r="BP30" s="134">
        <v>0</v>
      </c>
      <c r="BQ30" s="134">
        <v>1.5</v>
      </c>
      <c r="BR30" s="134">
        <v>0</v>
      </c>
      <c r="BS30" s="134">
        <v>0</v>
      </c>
      <c r="BT30" s="134">
        <v>0.5</v>
      </c>
      <c r="BU30" s="134">
        <v>0</v>
      </c>
      <c r="BV30" s="134">
        <v>0</v>
      </c>
      <c r="BW30" s="134">
        <v>1</v>
      </c>
      <c r="BX30" s="134">
        <v>0</v>
      </c>
      <c r="BY30" s="134">
        <v>0</v>
      </c>
      <c r="BZ30" s="134">
        <v>2</v>
      </c>
      <c r="CA30" s="134">
        <v>0</v>
      </c>
      <c r="CB30" s="134">
        <v>0</v>
      </c>
      <c r="CC30" s="134">
        <v>0</v>
      </c>
      <c r="CD30" s="134">
        <v>0</v>
      </c>
      <c r="CE30" s="134">
        <v>0</v>
      </c>
      <c r="CF30" s="134">
        <v>0</v>
      </c>
      <c r="CG30" s="134">
        <v>0</v>
      </c>
      <c r="CH30" s="134">
        <v>0</v>
      </c>
      <c r="CI30" s="134">
        <v>0</v>
      </c>
      <c r="CJ30" s="134">
        <v>0</v>
      </c>
      <c r="CK30" s="134">
        <v>0</v>
      </c>
      <c r="CL30" s="134">
        <v>0.5</v>
      </c>
      <c r="CM30" s="134">
        <v>0</v>
      </c>
      <c r="CN30" s="134">
        <v>0</v>
      </c>
      <c r="CO30" s="134">
        <v>0</v>
      </c>
      <c r="CP30" s="134">
        <v>0</v>
      </c>
      <c r="CQ30" s="134">
        <v>0</v>
      </c>
      <c r="CR30" s="134">
        <v>0</v>
      </c>
      <c r="CS30" s="134">
        <v>0</v>
      </c>
      <c r="CT30" s="134">
        <v>0</v>
      </c>
      <c r="CU30" s="134">
        <v>0</v>
      </c>
      <c r="CV30" s="134">
        <v>0</v>
      </c>
      <c r="CW30" s="134">
        <v>0</v>
      </c>
      <c r="CX30" s="134">
        <v>0</v>
      </c>
      <c r="CY30" s="141"/>
      <c r="CZ30" s="141"/>
    </row>
    <row r="31" spans="1:104">
      <c r="A31" s="133" t="s">
        <v>1406</v>
      </c>
      <c r="B31" s="149">
        <v>3</v>
      </c>
      <c r="C31" s="149">
        <v>3</v>
      </c>
      <c r="D31" s="149"/>
      <c r="E31" s="149"/>
      <c r="F31" s="149">
        <v>0.5</v>
      </c>
      <c r="G31" s="149"/>
      <c r="H31" s="149"/>
      <c r="I31" s="149">
        <v>1.5</v>
      </c>
      <c r="J31" s="149"/>
      <c r="K31" s="149"/>
      <c r="L31" s="149">
        <v>3</v>
      </c>
      <c r="M31" s="149"/>
      <c r="N31" s="149"/>
      <c r="O31" s="131">
        <v>0.5</v>
      </c>
      <c r="P31" s="149"/>
      <c r="Q31" s="149"/>
      <c r="R31" s="149">
        <v>2.5</v>
      </c>
      <c r="S31" s="149"/>
      <c r="T31" s="149"/>
      <c r="U31" s="149">
        <v>0.5</v>
      </c>
      <c r="V31" s="149"/>
      <c r="W31" s="149"/>
      <c r="X31" s="149">
        <v>1.5</v>
      </c>
      <c r="Y31" s="149"/>
      <c r="Z31" s="149"/>
      <c r="AA31" s="149">
        <v>1.5</v>
      </c>
      <c r="AB31" s="149"/>
      <c r="AC31" s="149"/>
      <c r="AD31" s="149">
        <v>3</v>
      </c>
      <c r="AE31" s="149"/>
      <c r="AF31" s="149"/>
      <c r="AG31" s="149">
        <v>3</v>
      </c>
      <c r="AH31" s="149"/>
      <c r="AI31" s="149"/>
      <c r="AJ31" s="149">
        <v>2.5</v>
      </c>
      <c r="AK31" s="149"/>
      <c r="AL31" s="149"/>
      <c r="AM31" s="149">
        <v>3</v>
      </c>
      <c r="AN31" s="149"/>
      <c r="AO31" s="149"/>
      <c r="AP31" s="149">
        <v>0.5</v>
      </c>
      <c r="AQ31" s="149"/>
      <c r="AR31" s="149"/>
      <c r="AS31" s="149">
        <v>0.5</v>
      </c>
      <c r="AT31" s="149"/>
      <c r="AU31" s="149"/>
      <c r="AV31" s="149">
        <v>2.5</v>
      </c>
      <c r="AW31" s="149"/>
      <c r="AX31" s="149"/>
      <c r="AY31" s="149">
        <v>0.5</v>
      </c>
      <c r="AZ31" s="149"/>
      <c r="BA31" s="149"/>
      <c r="BB31" s="149">
        <v>2.5</v>
      </c>
      <c r="BC31" s="149"/>
      <c r="BD31" s="149"/>
      <c r="BE31" s="149">
        <v>0.5</v>
      </c>
      <c r="BF31" s="149"/>
      <c r="BG31" s="149"/>
      <c r="BH31" s="149">
        <v>3</v>
      </c>
      <c r="BI31" s="149"/>
      <c r="BJ31" s="149"/>
      <c r="BK31" s="149">
        <v>1</v>
      </c>
      <c r="BL31" s="149"/>
      <c r="BM31" s="149"/>
      <c r="BN31" s="149">
        <v>1.5</v>
      </c>
      <c r="BO31" s="149"/>
      <c r="BP31" s="149"/>
      <c r="BQ31" s="149">
        <v>1</v>
      </c>
      <c r="BR31" s="149"/>
      <c r="BS31" s="149"/>
      <c r="BT31" s="149">
        <v>3</v>
      </c>
      <c r="BU31" s="149"/>
      <c r="BV31" s="149"/>
      <c r="BW31" s="149">
        <v>2.5</v>
      </c>
      <c r="BX31" s="149"/>
      <c r="BY31" s="149"/>
      <c r="BZ31" s="149">
        <v>1</v>
      </c>
      <c r="CA31" s="149"/>
      <c r="CB31" s="149"/>
      <c r="CC31" s="149">
        <v>2.5</v>
      </c>
      <c r="CD31" s="149"/>
      <c r="CE31" s="149"/>
      <c r="CF31" s="149">
        <v>1.5</v>
      </c>
      <c r="CG31" s="149"/>
      <c r="CH31" s="149"/>
      <c r="CI31" s="149">
        <v>1.5</v>
      </c>
      <c r="CJ31" s="149"/>
      <c r="CK31" s="149"/>
      <c r="CL31" s="149">
        <v>1</v>
      </c>
      <c r="CM31" s="149"/>
      <c r="CN31" s="149"/>
      <c r="CO31" s="149">
        <v>0</v>
      </c>
      <c r="CP31" s="149"/>
      <c r="CQ31" s="149"/>
      <c r="CR31" s="149">
        <v>1.5</v>
      </c>
      <c r="CS31" s="149"/>
      <c r="CT31" s="149"/>
      <c r="CU31" s="149">
        <v>2.5</v>
      </c>
      <c r="CV31" s="149"/>
      <c r="CW31" s="149"/>
      <c r="CX31" s="149">
        <v>2.5</v>
      </c>
      <c r="CY31" s="149"/>
      <c r="CZ31" s="149"/>
    </row>
    <row r="32" spans="1:104">
      <c r="A32" s="133" t="s">
        <v>1407</v>
      </c>
      <c r="B32" s="149">
        <v>1</v>
      </c>
      <c r="C32" s="161">
        <v>1</v>
      </c>
      <c r="D32" s="161"/>
      <c r="E32" s="161"/>
      <c r="F32" s="161">
        <v>1</v>
      </c>
      <c r="G32" s="161"/>
      <c r="H32" s="161"/>
      <c r="I32" s="161">
        <v>1</v>
      </c>
      <c r="J32" s="161"/>
      <c r="K32" s="161"/>
      <c r="L32" s="161">
        <v>1</v>
      </c>
      <c r="M32" s="161"/>
      <c r="N32" s="161"/>
      <c r="O32" s="132">
        <v>0</v>
      </c>
      <c r="P32" s="161"/>
      <c r="Q32" s="161"/>
      <c r="R32" s="161">
        <v>1</v>
      </c>
      <c r="S32" s="161"/>
      <c r="T32" s="161"/>
      <c r="U32" s="161">
        <v>0</v>
      </c>
      <c r="V32" s="161"/>
      <c r="W32" s="161"/>
      <c r="X32" s="161">
        <v>0</v>
      </c>
      <c r="Y32" s="161"/>
      <c r="Z32" s="161"/>
      <c r="AA32" s="161">
        <v>1</v>
      </c>
      <c r="AB32" s="161"/>
      <c r="AC32" s="161"/>
      <c r="AD32" s="161">
        <v>1</v>
      </c>
      <c r="AE32" s="161"/>
      <c r="AF32" s="161"/>
      <c r="AG32" s="161">
        <v>0</v>
      </c>
      <c r="AH32" s="161"/>
      <c r="AI32" s="161"/>
      <c r="AJ32" s="161">
        <v>0</v>
      </c>
      <c r="AK32" s="161"/>
      <c r="AL32" s="161"/>
      <c r="AM32" s="161">
        <v>1</v>
      </c>
      <c r="AN32" s="161"/>
      <c r="AO32" s="161"/>
      <c r="AP32" s="161">
        <v>1</v>
      </c>
      <c r="AQ32" s="161"/>
      <c r="AR32" s="161"/>
      <c r="AS32" s="161">
        <v>0</v>
      </c>
      <c r="AT32" s="161"/>
      <c r="AU32" s="161"/>
      <c r="AV32" s="161">
        <v>0</v>
      </c>
      <c r="AW32" s="161"/>
      <c r="AX32" s="161"/>
      <c r="AY32" s="161">
        <v>0</v>
      </c>
      <c r="AZ32" s="161"/>
      <c r="BA32" s="161"/>
      <c r="BB32" s="161">
        <v>0</v>
      </c>
      <c r="BC32" s="161"/>
      <c r="BD32" s="161"/>
      <c r="BE32" s="161">
        <v>0</v>
      </c>
      <c r="BF32" s="161"/>
      <c r="BG32" s="161"/>
      <c r="BH32" s="161">
        <v>1</v>
      </c>
      <c r="BI32" s="161"/>
      <c r="BJ32" s="161"/>
      <c r="BK32" s="161">
        <v>0</v>
      </c>
      <c r="BL32" s="161"/>
      <c r="BM32" s="161"/>
      <c r="BN32" s="161">
        <v>0</v>
      </c>
      <c r="BO32" s="161"/>
      <c r="BP32" s="149"/>
      <c r="BQ32" s="161">
        <v>0</v>
      </c>
      <c r="BR32" s="161"/>
      <c r="BS32" s="161"/>
      <c r="BT32" s="161">
        <v>1</v>
      </c>
      <c r="BU32" s="161"/>
      <c r="BV32" s="161"/>
      <c r="BW32" s="161">
        <v>0</v>
      </c>
      <c r="BX32" s="161"/>
      <c r="BY32" s="161"/>
      <c r="BZ32" s="161">
        <v>1</v>
      </c>
      <c r="CA32" s="161"/>
      <c r="CB32" s="161"/>
      <c r="CC32" s="161">
        <v>1</v>
      </c>
      <c r="CD32" s="161"/>
      <c r="CE32" s="161"/>
      <c r="CF32" s="161">
        <v>0</v>
      </c>
      <c r="CG32" s="161"/>
      <c r="CH32" s="161"/>
      <c r="CI32" s="161">
        <v>0</v>
      </c>
      <c r="CJ32" s="161"/>
      <c r="CK32" s="161"/>
      <c r="CL32" s="161">
        <v>0</v>
      </c>
      <c r="CM32" s="161"/>
      <c r="CN32" s="161"/>
      <c r="CO32" s="161">
        <v>0</v>
      </c>
      <c r="CP32" s="161"/>
      <c r="CQ32" s="161"/>
      <c r="CR32" s="161">
        <v>0</v>
      </c>
      <c r="CS32" s="161"/>
      <c r="CT32" s="161"/>
      <c r="CU32" s="161">
        <v>0</v>
      </c>
      <c r="CV32" s="161"/>
      <c r="CW32" s="161"/>
      <c r="CX32" s="161">
        <v>0</v>
      </c>
      <c r="CY32" s="161"/>
      <c r="CZ32" s="161"/>
    </row>
    <row r="33" spans="1:104">
      <c r="A33" s="157" t="s">
        <v>120</v>
      </c>
      <c r="B33" s="129">
        <f>B34+B38+B43+B48</f>
        <v>29</v>
      </c>
      <c r="C33" s="129">
        <f t="shared" ref="C33:BN33" si="16">C34+C38+C43+C48</f>
        <v>21.5</v>
      </c>
      <c r="D33" s="129">
        <f t="shared" si="16"/>
        <v>14.9</v>
      </c>
      <c r="E33" s="129">
        <f t="shared" si="16"/>
        <v>0</v>
      </c>
      <c r="F33" s="129">
        <f t="shared" si="16"/>
        <v>14.5</v>
      </c>
      <c r="G33" s="129">
        <f t="shared" si="16"/>
        <v>69</v>
      </c>
      <c r="H33" s="129">
        <f t="shared" si="16"/>
        <v>0</v>
      </c>
      <c r="I33" s="129">
        <f t="shared" si="16"/>
        <v>17</v>
      </c>
      <c r="J33" s="129">
        <f t="shared" si="16"/>
        <v>43.8</v>
      </c>
      <c r="K33" s="129">
        <f t="shared" si="16"/>
        <v>0</v>
      </c>
      <c r="L33" s="129">
        <f t="shared" si="16"/>
        <v>22</v>
      </c>
      <c r="M33" s="129">
        <f t="shared" si="16"/>
        <v>36.4</v>
      </c>
      <c r="N33" s="129">
        <f t="shared" si="16"/>
        <v>0</v>
      </c>
      <c r="O33" s="129">
        <f t="shared" si="16"/>
        <v>22.5</v>
      </c>
      <c r="P33" s="129">
        <f t="shared" si="16"/>
        <v>19.8</v>
      </c>
      <c r="Q33" s="129">
        <f t="shared" si="16"/>
        <v>0</v>
      </c>
      <c r="R33" s="129">
        <f t="shared" si="16"/>
        <v>21.5</v>
      </c>
      <c r="S33" s="129">
        <f t="shared" si="16"/>
        <v>9.5</v>
      </c>
      <c r="T33" s="129">
        <f t="shared" si="16"/>
        <v>0</v>
      </c>
      <c r="U33" s="129">
        <f t="shared" si="16"/>
        <v>21</v>
      </c>
      <c r="V33" s="129">
        <f t="shared" si="16"/>
        <v>27.3</v>
      </c>
      <c r="W33" s="129">
        <f t="shared" si="16"/>
        <v>0</v>
      </c>
      <c r="X33" s="129">
        <f t="shared" si="16"/>
        <v>10</v>
      </c>
      <c r="Y33" s="129">
        <f t="shared" si="16"/>
        <v>20.399999999999999</v>
      </c>
      <c r="Z33" s="129">
        <f t="shared" si="16"/>
        <v>0</v>
      </c>
      <c r="AA33" s="129">
        <f t="shared" si="16"/>
        <v>12</v>
      </c>
      <c r="AB33" s="129">
        <f t="shared" si="16"/>
        <v>67.8</v>
      </c>
      <c r="AC33" s="129">
        <f t="shared" si="16"/>
        <v>0</v>
      </c>
      <c r="AD33" s="129">
        <f t="shared" si="16"/>
        <v>11.5</v>
      </c>
      <c r="AE33" s="129">
        <f t="shared" si="16"/>
        <v>25.2</v>
      </c>
      <c r="AF33" s="129">
        <f t="shared" si="16"/>
        <v>0</v>
      </c>
      <c r="AG33" s="129">
        <f t="shared" si="16"/>
        <v>7.5</v>
      </c>
      <c r="AH33" s="129">
        <f t="shared" si="16"/>
        <v>13.7</v>
      </c>
      <c r="AI33" s="129">
        <f t="shared" si="16"/>
        <v>0</v>
      </c>
      <c r="AJ33" s="129">
        <f t="shared" si="16"/>
        <v>9</v>
      </c>
      <c r="AK33" s="129">
        <f t="shared" si="16"/>
        <v>78.2</v>
      </c>
      <c r="AL33" s="129">
        <f t="shared" si="16"/>
        <v>0</v>
      </c>
      <c r="AM33" s="129">
        <f t="shared" si="16"/>
        <v>11.5</v>
      </c>
      <c r="AN33" s="129">
        <f t="shared" si="16"/>
        <v>0</v>
      </c>
      <c r="AO33" s="129">
        <f t="shared" si="16"/>
        <v>0</v>
      </c>
      <c r="AP33" s="129">
        <f t="shared" si="16"/>
        <v>7.5</v>
      </c>
      <c r="AQ33" s="129">
        <f t="shared" si="16"/>
        <v>19</v>
      </c>
      <c r="AR33" s="129">
        <f t="shared" si="16"/>
        <v>0</v>
      </c>
      <c r="AS33" s="129">
        <f t="shared" si="16"/>
        <v>11</v>
      </c>
      <c r="AT33" s="129">
        <f t="shared" si="16"/>
        <v>18.5</v>
      </c>
      <c r="AU33" s="129">
        <f t="shared" si="16"/>
        <v>0</v>
      </c>
      <c r="AV33" s="129">
        <f t="shared" si="16"/>
        <v>6</v>
      </c>
      <c r="AW33" s="129">
        <f t="shared" si="16"/>
        <v>12.5</v>
      </c>
      <c r="AX33" s="129">
        <f t="shared" si="16"/>
        <v>0</v>
      </c>
      <c r="AY33" s="129">
        <f t="shared" si="16"/>
        <v>7.5</v>
      </c>
      <c r="AZ33" s="129">
        <f t="shared" si="16"/>
        <v>14.8</v>
      </c>
      <c r="BA33" s="129">
        <f t="shared" si="16"/>
        <v>0</v>
      </c>
      <c r="BB33" s="129">
        <f t="shared" si="16"/>
        <v>8.5</v>
      </c>
      <c r="BC33" s="129">
        <f t="shared" si="16"/>
        <v>65.900000000000006</v>
      </c>
      <c r="BD33" s="129">
        <f t="shared" si="16"/>
        <v>0</v>
      </c>
      <c r="BE33" s="129">
        <f t="shared" si="16"/>
        <v>4.5</v>
      </c>
      <c r="BF33" s="129">
        <f t="shared" si="16"/>
        <v>25.4</v>
      </c>
      <c r="BG33" s="129">
        <f t="shared" si="16"/>
        <v>0</v>
      </c>
      <c r="BH33" s="129">
        <f t="shared" si="16"/>
        <v>7.5</v>
      </c>
      <c r="BI33" s="129">
        <f t="shared" si="16"/>
        <v>16.899999999999999</v>
      </c>
      <c r="BJ33" s="129">
        <f t="shared" si="16"/>
        <v>0</v>
      </c>
      <c r="BK33" s="129">
        <f t="shared" si="16"/>
        <v>7.5</v>
      </c>
      <c r="BL33" s="129">
        <f t="shared" si="16"/>
        <v>35.4</v>
      </c>
      <c r="BM33" s="129">
        <f t="shared" si="16"/>
        <v>0</v>
      </c>
      <c r="BN33" s="129">
        <f t="shared" si="16"/>
        <v>8</v>
      </c>
      <c r="BO33" s="129">
        <f t="shared" ref="BO33:CX33" si="17">BO34+BO38+BO43+BO48</f>
        <v>49.6</v>
      </c>
      <c r="BP33" s="129">
        <f t="shared" si="17"/>
        <v>0</v>
      </c>
      <c r="BQ33" s="129">
        <f t="shared" si="17"/>
        <v>3</v>
      </c>
      <c r="BR33" s="129">
        <f t="shared" si="17"/>
        <v>0</v>
      </c>
      <c r="BS33" s="129">
        <f t="shared" si="17"/>
        <v>0</v>
      </c>
      <c r="BT33" s="129">
        <f t="shared" si="17"/>
        <v>7</v>
      </c>
      <c r="BU33" s="129">
        <f t="shared" si="17"/>
        <v>63.3</v>
      </c>
      <c r="BV33" s="129">
        <f t="shared" si="17"/>
        <v>0</v>
      </c>
      <c r="BW33" s="129">
        <f t="shared" si="17"/>
        <v>7</v>
      </c>
      <c r="BX33" s="129">
        <f t="shared" si="17"/>
        <v>41.8</v>
      </c>
      <c r="BY33" s="129">
        <f t="shared" si="17"/>
        <v>0</v>
      </c>
      <c r="BZ33" s="129">
        <f t="shared" si="17"/>
        <v>4.5</v>
      </c>
      <c r="CA33" s="129">
        <f t="shared" si="17"/>
        <v>0</v>
      </c>
      <c r="CB33" s="129">
        <f t="shared" si="17"/>
        <v>0</v>
      </c>
      <c r="CC33" s="129">
        <f t="shared" si="17"/>
        <v>6.5</v>
      </c>
      <c r="CD33" s="129">
        <f t="shared" si="17"/>
        <v>73</v>
      </c>
      <c r="CE33" s="129">
        <f t="shared" si="17"/>
        <v>0</v>
      </c>
      <c r="CF33" s="129">
        <f t="shared" si="17"/>
        <v>6.5</v>
      </c>
      <c r="CG33" s="129">
        <f t="shared" si="17"/>
        <v>16</v>
      </c>
      <c r="CH33" s="129">
        <f t="shared" si="17"/>
        <v>0</v>
      </c>
      <c r="CI33" s="129">
        <f t="shared" si="17"/>
        <v>3.5</v>
      </c>
      <c r="CJ33" s="129">
        <f t="shared" si="17"/>
        <v>67.900000000000006</v>
      </c>
      <c r="CK33" s="129">
        <f t="shared" si="17"/>
        <v>0</v>
      </c>
      <c r="CL33" s="129">
        <f t="shared" si="17"/>
        <v>6.5</v>
      </c>
      <c r="CM33" s="129">
        <f t="shared" si="17"/>
        <v>11</v>
      </c>
      <c r="CN33" s="129">
        <f t="shared" si="17"/>
        <v>0</v>
      </c>
      <c r="CO33" s="129">
        <f t="shared" si="17"/>
        <v>3</v>
      </c>
      <c r="CP33" s="129">
        <f t="shared" si="17"/>
        <v>0</v>
      </c>
      <c r="CQ33" s="129">
        <f t="shared" si="17"/>
        <v>0</v>
      </c>
      <c r="CR33" s="129">
        <f t="shared" si="17"/>
        <v>4.5</v>
      </c>
      <c r="CS33" s="129">
        <f t="shared" si="17"/>
        <v>26.1</v>
      </c>
      <c r="CT33" s="129">
        <f t="shared" si="17"/>
        <v>0</v>
      </c>
      <c r="CU33" s="129">
        <f t="shared" si="17"/>
        <v>5.5</v>
      </c>
      <c r="CV33" s="129">
        <f t="shared" si="17"/>
        <v>477</v>
      </c>
      <c r="CW33" s="129">
        <f t="shared" si="17"/>
        <v>0</v>
      </c>
      <c r="CX33" s="129">
        <f t="shared" si="17"/>
        <v>3.5</v>
      </c>
      <c r="CY33" s="129"/>
      <c r="CZ33" s="129"/>
    </row>
    <row r="34" spans="1:104" s="81" customFormat="1">
      <c r="A34" s="158" t="s">
        <v>1408</v>
      </c>
      <c r="B34" s="131">
        <f>SUM(B35:B37)</f>
        <v>8</v>
      </c>
      <c r="C34" s="131">
        <f t="shared" ref="C34:BN34" si="18">SUM(C35:C37)</f>
        <v>6.5</v>
      </c>
      <c r="D34" s="131">
        <f t="shared" si="18"/>
        <v>14.9</v>
      </c>
      <c r="E34" s="131">
        <f t="shared" si="18"/>
        <v>0</v>
      </c>
      <c r="F34" s="131">
        <f t="shared" si="18"/>
        <v>4</v>
      </c>
      <c r="G34" s="131">
        <f t="shared" si="18"/>
        <v>69</v>
      </c>
      <c r="H34" s="131">
        <f t="shared" si="18"/>
        <v>0</v>
      </c>
      <c r="I34" s="131">
        <f t="shared" si="18"/>
        <v>5</v>
      </c>
      <c r="J34" s="131">
        <f t="shared" si="18"/>
        <v>43.8</v>
      </c>
      <c r="K34" s="131">
        <f t="shared" si="18"/>
        <v>0</v>
      </c>
      <c r="L34" s="131">
        <f t="shared" si="18"/>
        <v>5.5</v>
      </c>
      <c r="M34" s="131">
        <f t="shared" si="18"/>
        <v>36.4</v>
      </c>
      <c r="N34" s="131">
        <f t="shared" si="18"/>
        <v>0</v>
      </c>
      <c r="O34" s="131">
        <f t="shared" si="18"/>
        <v>5.5</v>
      </c>
      <c r="P34" s="131">
        <f t="shared" si="18"/>
        <v>19.8</v>
      </c>
      <c r="Q34" s="131">
        <f t="shared" si="18"/>
        <v>0</v>
      </c>
      <c r="R34" s="131">
        <f t="shared" si="18"/>
        <v>6.5</v>
      </c>
      <c r="S34" s="131">
        <f t="shared" si="18"/>
        <v>9.5</v>
      </c>
      <c r="T34" s="131">
        <f t="shared" si="18"/>
        <v>0</v>
      </c>
      <c r="U34" s="131">
        <f t="shared" si="18"/>
        <v>5.5</v>
      </c>
      <c r="V34" s="131">
        <f t="shared" si="18"/>
        <v>27.3</v>
      </c>
      <c r="W34" s="131">
        <f t="shared" si="18"/>
        <v>0</v>
      </c>
      <c r="X34" s="131">
        <f t="shared" si="18"/>
        <v>1</v>
      </c>
      <c r="Y34" s="131">
        <f t="shared" si="18"/>
        <v>20.399999999999999</v>
      </c>
      <c r="Z34" s="131">
        <f t="shared" si="18"/>
        <v>0</v>
      </c>
      <c r="AA34" s="131">
        <f t="shared" si="18"/>
        <v>5</v>
      </c>
      <c r="AB34" s="131">
        <f t="shared" si="18"/>
        <v>67.8</v>
      </c>
      <c r="AC34" s="131">
        <f t="shared" si="18"/>
        <v>0</v>
      </c>
      <c r="AD34" s="131">
        <f t="shared" si="18"/>
        <v>2.5</v>
      </c>
      <c r="AE34" s="131">
        <f t="shared" si="18"/>
        <v>25.2</v>
      </c>
      <c r="AF34" s="131">
        <f t="shared" si="18"/>
        <v>0</v>
      </c>
      <c r="AG34" s="131">
        <f t="shared" si="18"/>
        <v>2.5</v>
      </c>
      <c r="AH34" s="131">
        <f t="shared" si="18"/>
        <v>13.7</v>
      </c>
      <c r="AI34" s="131">
        <f t="shared" si="18"/>
        <v>0</v>
      </c>
      <c r="AJ34" s="131">
        <f t="shared" si="18"/>
        <v>5</v>
      </c>
      <c r="AK34" s="131">
        <f t="shared" si="18"/>
        <v>78.2</v>
      </c>
      <c r="AL34" s="131">
        <f t="shared" si="18"/>
        <v>0</v>
      </c>
      <c r="AM34" s="131">
        <f t="shared" si="18"/>
        <v>3</v>
      </c>
      <c r="AN34" s="131">
        <f t="shared" si="18"/>
        <v>0</v>
      </c>
      <c r="AO34" s="131">
        <f t="shared" si="18"/>
        <v>0</v>
      </c>
      <c r="AP34" s="131">
        <f t="shared" si="18"/>
        <v>4.5</v>
      </c>
      <c r="AQ34" s="131">
        <f t="shared" si="18"/>
        <v>19</v>
      </c>
      <c r="AR34" s="131">
        <f t="shared" si="18"/>
        <v>0</v>
      </c>
      <c r="AS34" s="131">
        <f t="shared" si="18"/>
        <v>7</v>
      </c>
      <c r="AT34" s="131">
        <f t="shared" si="18"/>
        <v>18.5</v>
      </c>
      <c r="AU34" s="131">
        <f t="shared" si="18"/>
        <v>0</v>
      </c>
      <c r="AV34" s="131">
        <f t="shared" si="18"/>
        <v>2.5</v>
      </c>
      <c r="AW34" s="131">
        <f t="shared" si="18"/>
        <v>12.5</v>
      </c>
      <c r="AX34" s="131">
        <f t="shared" si="18"/>
        <v>0</v>
      </c>
      <c r="AY34" s="131">
        <f t="shared" si="18"/>
        <v>3</v>
      </c>
      <c r="AZ34" s="131">
        <f t="shared" si="18"/>
        <v>14.8</v>
      </c>
      <c r="BA34" s="131">
        <f t="shared" si="18"/>
        <v>0</v>
      </c>
      <c r="BB34" s="131">
        <f t="shared" si="18"/>
        <v>3.5</v>
      </c>
      <c r="BC34" s="131">
        <f t="shared" si="18"/>
        <v>65.900000000000006</v>
      </c>
      <c r="BD34" s="131">
        <f t="shared" si="18"/>
        <v>0</v>
      </c>
      <c r="BE34" s="131">
        <f t="shared" si="18"/>
        <v>2</v>
      </c>
      <c r="BF34" s="131">
        <f t="shared" si="18"/>
        <v>25.4</v>
      </c>
      <c r="BG34" s="131">
        <f t="shared" si="18"/>
        <v>0</v>
      </c>
      <c r="BH34" s="131">
        <f t="shared" si="18"/>
        <v>2.5</v>
      </c>
      <c r="BI34" s="131">
        <f t="shared" si="18"/>
        <v>16.899999999999999</v>
      </c>
      <c r="BJ34" s="131">
        <f t="shared" si="18"/>
        <v>0</v>
      </c>
      <c r="BK34" s="131">
        <f t="shared" si="18"/>
        <v>3</v>
      </c>
      <c r="BL34" s="131">
        <f t="shared" si="18"/>
        <v>35.4</v>
      </c>
      <c r="BM34" s="131">
        <f t="shared" si="18"/>
        <v>0</v>
      </c>
      <c r="BN34" s="131">
        <f t="shared" si="18"/>
        <v>3.5</v>
      </c>
      <c r="BO34" s="131">
        <f t="shared" ref="BO34:CZ34" si="19">SUM(BO35:BO37)</f>
        <v>49.6</v>
      </c>
      <c r="BP34" s="131">
        <f t="shared" si="19"/>
        <v>0</v>
      </c>
      <c r="BQ34" s="131">
        <f t="shared" si="19"/>
        <v>1</v>
      </c>
      <c r="BR34" s="131">
        <f t="shared" si="19"/>
        <v>0</v>
      </c>
      <c r="BS34" s="131">
        <f t="shared" si="19"/>
        <v>0</v>
      </c>
      <c r="BT34" s="131">
        <f t="shared" si="19"/>
        <v>3.5</v>
      </c>
      <c r="BU34" s="131">
        <f t="shared" si="19"/>
        <v>63.3</v>
      </c>
      <c r="BV34" s="131">
        <f t="shared" si="19"/>
        <v>0</v>
      </c>
      <c r="BW34" s="131">
        <f t="shared" si="19"/>
        <v>3</v>
      </c>
      <c r="BX34" s="131">
        <f t="shared" si="19"/>
        <v>41.8</v>
      </c>
      <c r="BY34" s="131">
        <f t="shared" si="19"/>
        <v>0</v>
      </c>
      <c r="BZ34" s="131">
        <f t="shared" si="19"/>
        <v>1</v>
      </c>
      <c r="CA34" s="131">
        <f t="shared" si="19"/>
        <v>0</v>
      </c>
      <c r="CB34" s="131">
        <f t="shared" si="19"/>
        <v>0</v>
      </c>
      <c r="CC34" s="131">
        <f t="shared" si="19"/>
        <v>4</v>
      </c>
      <c r="CD34" s="131">
        <f t="shared" si="19"/>
        <v>73</v>
      </c>
      <c r="CE34" s="131">
        <f t="shared" si="19"/>
        <v>0</v>
      </c>
      <c r="CF34" s="131">
        <f t="shared" si="19"/>
        <v>2.5</v>
      </c>
      <c r="CG34" s="131">
        <f t="shared" si="19"/>
        <v>16</v>
      </c>
      <c r="CH34" s="131">
        <f t="shared" si="19"/>
        <v>0</v>
      </c>
      <c r="CI34" s="131">
        <f t="shared" si="19"/>
        <v>3</v>
      </c>
      <c r="CJ34" s="131">
        <f t="shared" si="19"/>
        <v>67.900000000000006</v>
      </c>
      <c r="CK34" s="131">
        <f t="shared" si="19"/>
        <v>0</v>
      </c>
      <c r="CL34" s="131">
        <f t="shared" si="19"/>
        <v>2.5</v>
      </c>
      <c r="CM34" s="131">
        <f t="shared" si="19"/>
        <v>11</v>
      </c>
      <c r="CN34" s="131">
        <f t="shared" si="19"/>
        <v>0</v>
      </c>
      <c r="CO34" s="131">
        <f t="shared" si="19"/>
        <v>2</v>
      </c>
      <c r="CP34" s="131">
        <f t="shared" si="19"/>
        <v>0</v>
      </c>
      <c r="CQ34" s="131">
        <f t="shared" si="19"/>
        <v>0</v>
      </c>
      <c r="CR34" s="131">
        <f t="shared" si="19"/>
        <v>3</v>
      </c>
      <c r="CS34" s="131">
        <f t="shared" si="19"/>
        <v>26.1</v>
      </c>
      <c r="CT34" s="131">
        <f t="shared" si="19"/>
        <v>0</v>
      </c>
      <c r="CU34" s="131">
        <f t="shared" si="19"/>
        <v>3</v>
      </c>
      <c r="CV34" s="131">
        <f t="shared" si="19"/>
        <v>477</v>
      </c>
      <c r="CW34" s="131">
        <f t="shared" si="19"/>
        <v>0</v>
      </c>
      <c r="CX34" s="131">
        <f t="shared" si="19"/>
        <v>3</v>
      </c>
      <c r="CY34" s="131">
        <f t="shared" si="19"/>
        <v>13.4</v>
      </c>
      <c r="CZ34" s="131">
        <f t="shared" si="19"/>
        <v>0</v>
      </c>
    </row>
    <row r="35" spans="1:104">
      <c r="A35" s="164" t="s">
        <v>439</v>
      </c>
      <c r="B35" s="165">
        <v>3</v>
      </c>
      <c r="C35" s="135">
        <v>3</v>
      </c>
      <c r="D35" s="136"/>
      <c r="E35" s="137"/>
      <c r="F35" s="135">
        <v>1</v>
      </c>
      <c r="G35" s="141"/>
      <c r="H35" s="141"/>
      <c r="I35" s="135">
        <v>2</v>
      </c>
      <c r="J35" s="135"/>
      <c r="K35" s="135"/>
      <c r="L35" s="135">
        <v>2</v>
      </c>
      <c r="M35" s="136"/>
      <c r="N35" s="135"/>
      <c r="O35" s="135">
        <v>1.5</v>
      </c>
      <c r="P35" s="141"/>
      <c r="Q35" s="141"/>
      <c r="R35" s="135">
        <v>3</v>
      </c>
      <c r="S35" s="135"/>
      <c r="T35" s="135"/>
      <c r="U35" s="135">
        <v>2</v>
      </c>
      <c r="V35" s="141"/>
      <c r="W35" s="141"/>
      <c r="X35" s="135">
        <v>0.25</v>
      </c>
      <c r="Y35" s="141"/>
      <c r="Z35" s="141"/>
      <c r="AA35" s="135">
        <v>1.5</v>
      </c>
      <c r="AB35" s="141"/>
      <c r="AC35" s="141"/>
      <c r="AD35" s="166">
        <v>0.5</v>
      </c>
      <c r="AE35" s="141"/>
      <c r="AF35" s="141"/>
      <c r="AG35" s="135">
        <v>1</v>
      </c>
      <c r="AH35" s="141"/>
      <c r="AI35" s="141"/>
      <c r="AJ35" s="135">
        <v>1.5</v>
      </c>
      <c r="AK35" s="141"/>
      <c r="AL35" s="141"/>
      <c r="AM35" s="155">
        <v>2</v>
      </c>
      <c r="AN35" s="141"/>
      <c r="AO35" s="141"/>
      <c r="AP35" s="135">
        <v>2</v>
      </c>
      <c r="AQ35" s="141"/>
      <c r="AR35" s="141"/>
      <c r="AS35" s="135">
        <v>2</v>
      </c>
      <c r="AT35" s="141"/>
      <c r="AU35" s="141"/>
      <c r="AV35" s="135">
        <v>1</v>
      </c>
      <c r="AW35" s="141"/>
      <c r="AX35" s="141"/>
      <c r="AY35" s="135">
        <v>1</v>
      </c>
      <c r="AZ35" s="141"/>
      <c r="BA35" s="141"/>
      <c r="BB35" s="135">
        <v>1</v>
      </c>
      <c r="BC35" s="141"/>
      <c r="BD35" s="141"/>
      <c r="BE35" s="135">
        <v>0.5</v>
      </c>
      <c r="BF35" s="141"/>
      <c r="BG35" s="141"/>
      <c r="BH35" s="135">
        <v>1</v>
      </c>
      <c r="BI35" s="141"/>
      <c r="BJ35" s="141"/>
      <c r="BK35" s="135">
        <v>1</v>
      </c>
      <c r="BL35" s="141"/>
      <c r="BM35" s="141"/>
      <c r="BN35" s="135">
        <v>1</v>
      </c>
      <c r="BO35" s="141"/>
      <c r="BP35" s="141"/>
      <c r="BQ35" s="135">
        <v>0.5</v>
      </c>
      <c r="BR35" s="141"/>
      <c r="BS35" s="141"/>
      <c r="BT35" s="135">
        <v>1</v>
      </c>
      <c r="BU35" s="141"/>
      <c r="BV35" s="141"/>
      <c r="BW35" s="135">
        <v>0.5</v>
      </c>
      <c r="BX35" s="141"/>
      <c r="BY35" s="141"/>
      <c r="BZ35" s="135">
        <v>0.5</v>
      </c>
      <c r="CA35" s="141"/>
      <c r="CB35" s="141"/>
      <c r="CC35" s="135">
        <v>1</v>
      </c>
      <c r="CD35" s="141"/>
      <c r="CE35" s="141"/>
      <c r="CF35" s="135">
        <v>1</v>
      </c>
      <c r="CG35" s="141"/>
      <c r="CH35" s="141"/>
      <c r="CI35" s="135">
        <v>0.5</v>
      </c>
      <c r="CJ35" s="141"/>
      <c r="CK35" s="141"/>
      <c r="CL35" s="135">
        <v>1</v>
      </c>
      <c r="CM35" s="141"/>
      <c r="CN35" s="141"/>
      <c r="CO35" s="135">
        <v>1</v>
      </c>
      <c r="CP35" s="141"/>
      <c r="CQ35" s="141"/>
      <c r="CR35" s="135">
        <v>1</v>
      </c>
      <c r="CS35" s="141"/>
      <c r="CT35" s="141"/>
      <c r="CU35" s="135">
        <v>0.5</v>
      </c>
      <c r="CV35" s="141"/>
      <c r="CW35" s="141"/>
      <c r="CX35" s="135">
        <v>1</v>
      </c>
      <c r="CY35" s="141"/>
      <c r="CZ35" s="141"/>
    </row>
    <row r="36" spans="1:104">
      <c r="A36" s="164" t="s">
        <v>440</v>
      </c>
      <c r="B36" s="165">
        <v>3</v>
      </c>
      <c r="C36" s="135">
        <v>3</v>
      </c>
      <c r="D36" s="135"/>
      <c r="E36" s="76"/>
      <c r="F36" s="135">
        <v>1</v>
      </c>
      <c r="G36" s="141"/>
      <c r="H36" s="141"/>
      <c r="I36" s="135">
        <v>2</v>
      </c>
      <c r="J36" s="141"/>
      <c r="K36" s="141"/>
      <c r="L36" s="135">
        <v>2</v>
      </c>
      <c r="M36" s="141"/>
      <c r="N36" s="141"/>
      <c r="O36" s="135">
        <v>3</v>
      </c>
      <c r="P36" s="135"/>
      <c r="Q36" s="76"/>
      <c r="R36" s="135">
        <v>3</v>
      </c>
      <c r="S36" s="141"/>
      <c r="T36" s="141"/>
      <c r="U36" s="135">
        <v>2</v>
      </c>
      <c r="V36" s="135"/>
      <c r="W36" s="76"/>
      <c r="X36" s="135">
        <v>0.25</v>
      </c>
      <c r="Y36" s="141"/>
      <c r="Z36" s="141"/>
      <c r="AA36" s="135">
        <v>1.5</v>
      </c>
      <c r="AB36" s="135"/>
      <c r="AC36" s="76"/>
      <c r="AD36" s="166">
        <v>0.5</v>
      </c>
      <c r="AE36" s="135"/>
      <c r="AF36" s="135"/>
      <c r="AG36" s="135">
        <v>1</v>
      </c>
      <c r="AH36" s="135"/>
      <c r="AI36" s="76"/>
      <c r="AJ36" s="135">
        <v>1.5</v>
      </c>
      <c r="AK36" s="141"/>
      <c r="AL36" s="141"/>
      <c r="AM36" s="155">
        <v>1</v>
      </c>
      <c r="AN36" s="135"/>
      <c r="AO36" s="76"/>
      <c r="AP36" s="135">
        <v>2</v>
      </c>
      <c r="AQ36" s="141"/>
      <c r="AR36" s="141"/>
      <c r="AS36" s="135">
        <v>3</v>
      </c>
      <c r="AT36" s="141"/>
      <c r="AU36" s="141"/>
      <c r="AV36" s="135">
        <v>1</v>
      </c>
      <c r="AW36" s="135"/>
      <c r="AX36" s="76"/>
      <c r="AY36" s="135">
        <v>1</v>
      </c>
      <c r="AZ36" s="135"/>
      <c r="BA36" s="135"/>
      <c r="BB36" s="135">
        <v>1</v>
      </c>
      <c r="BC36" s="135"/>
      <c r="BD36" s="76"/>
      <c r="BE36" s="135">
        <v>0.5</v>
      </c>
      <c r="BF36" s="141"/>
      <c r="BG36" s="141"/>
      <c r="BH36" s="135">
        <v>1</v>
      </c>
      <c r="BI36" s="135"/>
      <c r="BJ36" s="135"/>
      <c r="BK36" s="135">
        <v>1</v>
      </c>
      <c r="BL36" s="141"/>
      <c r="BM36" s="141"/>
      <c r="BN36" s="135">
        <v>1</v>
      </c>
      <c r="BO36" s="141"/>
      <c r="BP36" s="141"/>
      <c r="BQ36" s="135">
        <v>0.5</v>
      </c>
      <c r="BR36" s="141"/>
      <c r="BS36" s="141"/>
      <c r="BT36" s="135">
        <v>1</v>
      </c>
      <c r="BU36" s="141"/>
      <c r="BV36" s="141"/>
      <c r="BW36" s="135">
        <v>0.5</v>
      </c>
      <c r="BX36" s="135"/>
      <c r="BY36" s="76"/>
      <c r="BZ36" s="135">
        <v>0.5</v>
      </c>
      <c r="CA36" s="135"/>
      <c r="CB36" s="76"/>
      <c r="CC36" s="135">
        <v>1</v>
      </c>
      <c r="CD36" s="141"/>
      <c r="CE36" s="141"/>
      <c r="CF36" s="135">
        <v>1</v>
      </c>
      <c r="CG36" s="135"/>
      <c r="CH36" s="76"/>
      <c r="CI36" s="135">
        <v>0.5</v>
      </c>
      <c r="CJ36" s="141"/>
      <c r="CK36" s="141"/>
      <c r="CL36" s="135">
        <v>1</v>
      </c>
      <c r="CM36" s="141"/>
      <c r="CN36" s="141"/>
      <c r="CO36" s="135">
        <v>1</v>
      </c>
      <c r="CP36" s="141"/>
      <c r="CQ36" s="141"/>
      <c r="CR36" s="135">
        <v>1</v>
      </c>
      <c r="CS36" s="141"/>
      <c r="CT36" s="141"/>
      <c r="CU36" s="135">
        <v>0.5</v>
      </c>
      <c r="CV36" s="141"/>
      <c r="CW36" s="141"/>
      <c r="CX36" s="135">
        <v>1</v>
      </c>
      <c r="CY36" s="141"/>
      <c r="CZ36" s="141"/>
    </row>
    <row r="37" spans="1:104">
      <c r="A37" s="133" t="s">
        <v>1409</v>
      </c>
      <c r="B37" s="165">
        <v>2</v>
      </c>
      <c r="C37" s="135">
        <v>0.5</v>
      </c>
      <c r="D37" s="135">
        <v>14.9</v>
      </c>
      <c r="E37" s="167" t="s">
        <v>1410</v>
      </c>
      <c r="F37" s="135">
        <v>2</v>
      </c>
      <c r="G37" s="135">
        <v>69</v>
      </c>
      <c r="H37" s="135" t="s">
        <v>1411</v>
      </c>
      <c r="I37" s="135">
        <v>1</v>
      </c>
      <c r="J37" s="135">
        <v>43.8</v>
      </c>
      <c r="K37" s="135" t="s">
        <v>1412</v>
      </c>
      <c r="L37" s="135">
        <v>1.5</v>
      </c>
      <c r="M37" s="135">
        <v>36.4</v>
      </c>
      <c r="N37" s="135" t="s">
        <v>1413</v>
      </c>
      <c r="O37" s="135">
        <v>1</v>
      </c>
      <c r="P37" s="135">
        <v>19.8</v>
      </c>
      <c r="Q37" s="135" t="s">
        <v>1414</v>
      </c>
      <c r="R37" s="135">
        <v>0.5</v>
      </c>
      <c r="S37" s="135">
        <v>9.5</v>
      </c>
      <c r="T37" s="135" t="s">
        <v>1415</v>
      </c>
      <c r="U37" s="135">
        <v>1.5</v>
      </c>
      <c r="V37" s="135">
        <v>27.3</v>
      </c>
      <c r="W37" s="135" t="s">
        <v>1416</v>
      </c>
      <c r="X37" s="135">
        <v>0.5</v>
      </c>
      <c r="Y37" s="135">
        <v>20.399999999999999</v>
      </c>
      <c r="Z37" s="135" t="s">
        <v>1417</v>
      </c>
      <c r="AA37" s="135">
        <v>2</v>
      </c>
      <c r="AB37" s="135">
        <v>67.8</v>
      </c>
      <c r="AC37" s="135" t="s">
        <v>1418</v>
      </c>
      <c r="AD37" s="135">
        <v>1.5</v>
      </c>
      <c r="AE37" s="135">
        <v>25.2</v>
      </c>
      <c r="AF37" s="135" t="s">
        <v>1419</v>
      </c>
      <c r="AG37" s="135">
        <v>0.5</v>
      </c>
      <c r="AH37" s="135">
        <v>13.7</v>
      </c>
      <c r="AI37" s="135" t="s">
        <v>1420</v>
      </c>
      <c r="AJ37" s="135">
        <v>2</v>
      </c>
      <c r="AK37" s="135">
        <v>78.2</v>
      </c>
      <c r="AL37" s="135" t="s">
        <v>1421</v>
      </c>
      <c r="AM37" s="135">
        <v>0</v>
      </c>
      <c r="AN37" s="141" t="s">
        <v>869</v>
      </c>
      <c r="AO37" s="141" t="s">
        <v>869</v>
      </c>
      <c r="AP37" s="135">
        <v>0.5</v>
      </c>
      <c r="AQ37" s="135">
        <v>19</v>
      </c>
      <c r="AR37" s="135" t="s">
        <v>1422</v>
      </c>
      <c r="AS37" s="135">
        <v>2</v>
      </c>
      <c r="AT37" s="135">
        <v>18.5</v>
      </c>
      <c r="AU37" s="135" t="s">
        <v>1423</v>
      </c>
      <c r="AV37" s="135">
        <v>0.5</v>
      </c>
      <c r="AW37" s="135">
        <v>12.5</v>
      </c>
      <c r="AX37" s="168" t="s">
        <v>1424</v>
      </c>
      <c r="AY37" s="135">
        <v>1</v>
      </c>
      <c r="AZ37" s="135">
        <v>14.8</v>
      </c>
      <c r="BA37" s="169" t="s">
        <v>1425</v>
      </c>
      <c r="BB37" s="135">
        <v>1.5</v>
      </c>
      <c r="BC37" s="135">
        <v>65.900000000000006</v>
      </c>
      <c r="BD37" s="169" t="s">
        <v>1426</v>
      </c>
      <c r="BE37" s="135">
        <v>1</v>
      </c>
      <c r="BF37" s="135">
        <v>25.4</v>
      </c>
      <c r="BG37" s="169" t="s">
        <v>1427</v>
      </c>
      <c r="BH37" s="135">
        <v>0.5</v>
      </c>
      <c r="BI37" s="135">
        <v>16.899999999999999</v>
      </c>
      <c r="BJ37" s="169" t="s">
        <v>1428</v>
      </c>
      <c r="BK37" s="135">
        <v>1</v>
      </c>
      <c r="BL37" s="135">
        <v>35.4</v>
      </c>
      <c r="BM37" s="169" t="s">
        <v>1429</v>
      </c>
      <c r="BN37" s="135">
        <v>1.5</v>
      </c>
      <c r="BO37" s="135">
        <v>49.6</v>
      </c>
      <c r="BP37" s="169" t="s">
        <v>1430</v>
      </c>
      <c r="BQ37" s="135">
        <v>0</v>
      </c>
      <c r="BR37" s="141" t="s">
        <v>869</v>
      </c>
      <c r="BS37" s="141" t="s">
        <v>869</v>
      </c>
      <c r="BT37" s="135">
        <v>1.5</v>
      </c>
      <c r="BU37" s="135">
        <v>63.3</v>
      </c>
      <c r="BV37" s="169" t="s">
        <v>1431</v>
      </c>
      <c r="BW37" s="135">
        <v>2</v>
      </c>
      <c r="BX37" s="135">
        <v>41.8</v>
      </c>
      <c r="BY37" s="169" t="s">
        <v>1432</v>
      </c>
      <c r="BZ37" s="135">
        <v>0</v>
      </c>
      <c r="CA37" s="141" t="s">
        <v>869</v>
      </c>
      <c r="CB37" s="141" t="s">
        <v>869</v>
      </c>
      <c r="CC37" s="135">
        <v>2</v>
      </c>
      <c r="CD37" s="135">
        <v>73</v>
      </c>
      <c r="CE37" s="169" t="s">
        <v>1433</v>
      </c>
      <c r="CF37" s="135">
        <v>0.5</v>
      </c>
      <c r="CG37" s="135">
        <v>16</v>
      </c>
      <c r="CH37" s="169" t="s">
        <v>1434</v>
      </c>
      <c r="CI37" s="135">
        <v>2</v>
      </c>
      <c r="CJ37" s="135">
        <v>67.900000000000006</v>
      </c>
      <c r="CK37" s="169" t="s">
        <v>1435</v>
      </c>
      <c r="CL37" s="135">
        <v>0.5</v>
      </c>
      <c r="CM37" s="135">
        <v>11</v>
      </c>
      <c r="CN37" s="169" t="s">
        <v>1436</v>
      </c>
      <c r="CO37" s="135">
        <v>0</v>
      </c>
      <c r="CP37" s="141" t="s">
        <v>869</v>
      </c>
      <c r="CQ37" s="141" t="s">
        <v>869</v>
      </c>
      <c r="CR37" s="135">
        <v>1</v>
      </c>
      <c r="CS37" s="135">
        <v>26.1</v>
      </c>
      <c r="CT37" s="169" t="s">
        <v>1437</v>
      </c>
      <c r="CU37" s="135">
        <v>2</v>
      </c>
      <c r="CV37" s="135">
        <v>477</v>
      </c>
      <c r="CW37" s="169" t="s">
        <v>1438</v>
      </c>
      <c r="CX37" s="135">
        <v>1</v>
      </c>
      <c r="CY37" s="135">
        <v>13.4</v>
      </c>
      <c r="CZ37" s="169" t="s">
        <v>1439</v>
      </c>
    </row>
    <row r="38" spans="1:104" s="81" customFormat="1">
      <c r="A38" s="158" t="s">
        <v>1440</v>
      </c>
      <c r="B38" s="131">
        <f>SUM(B39:B42)</f>
        <v>9</v>
      </c>
      <c r="C38" s="131">
        <f t="shared" ref="C38:BN38" si="20">SUM(C39:C42)</f>
        <v>5</v>
      </c>
      <c r="D38" s="131">
        <f t="shared" si="20"/>
        <v>0</v>
      </c>
      <c r="E38" s="131">
        <f t="shared" si="20"/>
        <v>0</v>
      </c>
      <c r="F38" s="131">
        <f t="shared" si="20"/>
        <v>2.5</v>
      </c>
      <c r="G38" s="131">
        <f t="shared" si="20"/>
        <v>0</v>
      </c>
      <c r="H38" s="131">
        <f t="shared" si="20"/>
        <v>0</v>
      </c>
      <c r="I38" s="131">
        <f t="shared" si="20"/>
        <v>4</v>
      </c>
      <c r="J38" s="131">
        <f t="shared" si="20"/>
        <v>0</v>
      </c>
      <c r="K38" s="131">
        <f t="shared" si="20"/>
        <v>0</v>
      </c>
      <c r="L38" s="131">
        <f t="shared" si="20"/>
        <v>8.5</v>
      </c>
      <c r="M38" s="131">
        <f t="shared" si="20"/>
        <v>0</v>
      </c>
      <c r="N38" s="131">
        <f t="shared" si="20"/>
        <v>0</v>
      </c>
      <c r="O38" s="131">
        <f t="shared" si="20"/>
        <v>7</v>
      </c>
      <c r="P38" s="131">
        <f t="shared" si="20"/>
        <v>0</v>
      </c>
      <c r="Q38" s="131">
        <f t="shared" si="20"/>
        <v>0</v>
      </c>
      <c r="R38" s="131">
        <f t="shared" si="20"/>
        <v>7</v>
      </c>
      <c r="S38" s="131">
        <f t="shared" si="20"/>
        <v>0</v>
      </c>
      <c r="T38" s="131">
        <f t="shared" si="20"/>
        <v>0</v>
      </c>
      <c r="U38" s="131">
        <f t="shared" si="20"/>
        <v>7.5</v>
      </c>
      <c r="V38" s="131">
        <f t="shared" si="20"/>
        <v>0</v>
      </c>
      <c r="W38" s="131">
        <f t="shared" si="20"/>
        <v>0</v>
      </c>
      <c r="X38" s="131">
        <f t="shared" si="20"/>
        <v>2.5</v>
      </c>
      <c r="Y38" s="131">
        <f t="shared" si="20"/>
        <v>0</v>
      </c>
      <c r="Z38" s="131">
        <f t="shared" si="20"/>
        <v>0</v>
      </c>
      <c r="AA38" s="131">
        <f t="shared" si="20"/>
        <v>2</v>
      </c>
      <c r="AB38" s="131">
        <f t="shared" si="20"/>
        <v>0</v>
      </c>
      <c r="AC38" s="131">
        <f t="shared" si="20"/>
        <v>0</v>
      </c>
      <c r="AD38" s="131">
        <f t="shared" si="20"/>
        <v>2.5</v>
      </c>
      <c r="AE38" s="131">
        <f t="shared" si="20"/>
        <v>0</v>
      </c>
      <c r="AF38" s="131">
        <f t="shared" si="20"/>
        <v>0</v>
      </c>
      <c r="AG38" s="131">
        <f t="shared" si="20"/>
        <v>0.5</v>
      </c>
      <c r="AH38" s="131">
        <f t="shared" si="20"/>
        <v>0</v>
      </c>
      <c r="AI38" s="131">
        <f t="shared" si="20"/>
        <v>0</v>
      </c>
      <c r="AJ38" s="131">
        <f t="shared" si="20"/>
        <v>0</v>
      </c>
      <c r="AK38" s="131">
        <f t="shared" si="20"/>
        <v>0</v>
      </c>
      <c r="AL38" s="131">
        <f t="shared" si="20"/>
        <v>0</v>
      </c>
      <c r="AM38" s="131">
        <f t="shared" si="20"/>
        <v>2.5</v>
      </c>
      <c r="AN38" s="131">
        <f t="shared" si="20"/>
        <v>0</v>
      </c>
      <c r="AO38" s="131">
        <f t="shared" si="20"/>
        <v>0</v>
      </c>
      <c r="AP38" s="131">
        <f t="shared" si="20"/>
        <v>0</v>
      </c>
      <c r="AQ38" s="131">
        <f t="shared" si="20"/>
        <v>0</v>
      </c>
      <c r="AR38" s="131">
        <f t="shared" si="20"/>
        <v>0</v>
      </c>
      <c r="AS38" s="131">
        <f t="shared" si="20"/>
        <v>0.5</v>
      </c>
      <c r="AT38" s="131">
        <f t="shared" si="20"/>
        <v>0</v>
      </c>
      <c r="AU38" s="131">
        <f t="shared" si="20"/>
        <v>0</v>
      </c>
      <c r="AV38" s="131">
        <f t="shared" si="20"/>
        <v>0</v>
      </c>
      <c r="AW38" s="131">
        <f t="shared" si="20"/>
        <v>0</v>
      </c>
      <c r="AX38" s="131">
        <f t="shared" si="20"/>
        <v>0</v>
      </c>
      <c r="AY38" s="131">
        <f t="shared" si="20"/>
        <v>2.5</v>
      </c>
      <c r="AZ38" s="131">
        <f t="shared" si="20"/>
        <v>0</v>
      </c>
      <c r="BA38" s="131">
        <f t="shared" si="20"/>
        <v>0</v>
      </c>
      <c r="BB38" s="131">
        <f t="shared" si="20"/>
        <v>0.5</v>
      </c>
      <c r="BC38" s="131">
        <f t="shared" si="20"/>
        <v>0</v>
      </c>
      <c r="BD38" s="131">
        <f t="shared" si="20"/>
        <v>0</v>
      </c>
      <c r="BE38" s="131">
        <f t="shared" si="20"/>
        <v>0</v>
      </c>
      <c r="BF38" s="131">
        <f t="shared" si="20"/>
        <v>0</v>
      </c>
      <c r="BG38" s="131">
        <f t="shared" si="20"/>
        <v>0</v>
      </c>
      <c r="BH38" s="131">
        <f t="shared" si="20"/>
        <v>0.5</v>
      </c>
      <c r="BI38" s="131">
        <f t="shared" si="20"/>
        <v>0</v>
      </c>
      <c r="BJ38" s="131">
        <f t="shared" si="20"/>
        <v>0</v>
      </c>
      <c r="BK38" s="131">
        <f t="shared" si="20"/>
        <v>0.5</v>
      </c>
      <c r="BL38" s="131">
        <f t="shared" si="20"/>
        <v>0</v>
      </c>
      <c r="BM38" s="131">
        <f t="shared" si="20"/>
        <v>0</v>
      </c>
      <c r="BN38" s="131">
        <f t="shared" si="20"/>
        <v>0.5</v>
      </c>
      <c r="BO38" s="131">
        <f t="shared" ref="BO38:CX38" si="21">SUM(BO39:BO42)</f>
        <v>0</v>
      </c>
      <c r="BP38" s="131">
        <f t="shared" si="21"/>
        <v>0</v>
      </c>
      <c r="BQ38" s="131">
        <f t="shared" si="21"/>
        <v>0</v>
      </c>
      <c r="BR38" s="131">
        <f t="shared" si="21"/>
        <v>0</v>
      </c>
      <c r="BS38" s="131">
        <f t="shared" si="21"/>
        <v>0</v>
      </c>
      <c r="BT38" s="131">
        <f t="shared" si="21"/>
        <v>0</v>
      </c>
      <c r="BU38" s="131">
        <f t="shared" si="21"/>
        <v>0</v>
      </c>
      <c r="BV38" s="131">
        <f t="shared" si="21"/>
        <v>0</v>
      </c>
      <c r="BW38" s="131">
        <f t="shared" si="21"/>
        <v>0</v>
      </c>
      <c r="BX38" s="131">
        <f t="shared" si="21"/>
        <v>0</v>
      </c>
      <c r="BY38" s="131">
        <f t="shared" si="21"/>
        <v>0</v>
      </c>
      <c r="BZ38" s="131">
        <f t="shared" si="21"/>
        <v>2</v>
      </c>
      <c r="CA38" s="131">
        <f t="shared" si="21"/>
        <v>0</v>
      </c>
      <c r="CB38" s="131">
        <f t="shared" si="21"/>
        <v>0</v>
      </c>
      <c r="CC38" s="131">
        <f t="shared" si="21"/>
        <v>0</v>
      </c>
      <c r="CD38" s="131">
        <f t="shared" si="21"/>
        <v>0</v>
      </c>
      <c r="CE38" s="131">
        <f t="shared" si="21"/>
        <v>0</v>
      </c>
      <c r="CF38" s="131">
        <f t="shared" si="21"/>
        <v>0.5</v>
      </c>
      <c r="CG38" s="131">
        <f t="shared" si="21"/>
        <v>0</v>
      </c>
      <c r="CH38" s="131">
        <f t="shared" si="21"/>
        <v>0</v>
      </c>
      <c r="CI38" s="131">
        <f t="shared" si="21"/>
        <v>0</v>
      </c>
      <c r="CJ38" s="131">
        <f t="shared" si="21"/>
        <v>0</v>
      </c>
      <c r="CK38" s="131">
        <f t="shared" si="21"/>
        <v>0</v>
      </c>
      <c r="CL38" s="131">
        <f t="shared" si="21"/>
        <v>2</v>
      </c>
      <c r="CM38" s="131">
        <f t="shared" si="21"/>
        <v>0</v>
      </c>
      <c r="CN38" s="131">
        <f t="shared" si="21"/>
        <v>0</v>
      </c>
      <c r="CO38" s="131">
        <f t="shared" si="21"/>
        <v>0.5</v>
      </c>
      <c r="CP38" s="131">
        <f t="shared" si="21"/>
        <v>0</v>
      </c>
      <c r="CQ38" s="131">
        <f t="shared" si="21"/>
        <v>0</v>
      </c>
      <c r="CR38" s="131">
        <f t="shared" si="21"/>
        <v>0.5</v>
      </c>
      <c r="CS38" s="131">
        <f t="shared" si="21"/>
        <v>0</v>
      </c>
      <c r="CT38" s="131">
        <f t="shared" si="21"/>
        <v>0</v>
      </c>
      <c r="CU38" s="131">
        <f t="shared" si="21"/>
        <v>0</v>
      </c>
      <c r="CV38" s="131">
        <f t="shared" si="21"/>
        <v>0</v>
      </c>
      <c r="CW38" s="131">
        <f t="shared" si="21"/>
        <v>0</v>
      </c>
      <c r="CX38" s="131">
        <f t="shared" si="21"/>
        <v>0</v>
      </c>
      <c r="CY38" s="131"/>
      <c r="CZ38" s="131"/>
    </row>
    <row r="39" spans="1:104">
      <c r="A39" s="170" t="s">
        <v>1441</v>
      </c>
      <c r="B39" s="165">
        <v>2</v>
      </c>
      <c r="C39" s="135">
        <v>0</v>
      </c>
      <c r="D39" s="141" t="s">
        <v>869</v>
      </c>
      <c r="E39" s="141" t="s">
        <v>869</v>
      </c>
      <c r="F39" s="135">
        <v>2</v>
      </c>
      <c r="G39" s="136" t="s">
        <v>1442</v>
      </c>
      <c r="H39" s="138" t="s">
        <v>1443</v>
      </c>
      <c r="I39" s="135">
        <v>0</v>
      </c>
      <c r="J39" s="141" t="s">
        <v>869</v>
      </c>
      <c r="K39" s="141" t="s">
        <v>869</v>
      </c>
      <c r="L39" s="135">
        <v>2</v>
      </c>
      <c r="M39" s="136" t="s">
        <v>1444</v>
      </c>
      <c r="N39" s="135"/>
      <c r="O39" s="135">
        <v>2</v>
      </c>
      <c r="P39" s="136" t="s">
        <v>1445</v>
      </c>
      <c r="Q39" s="135" t="s">
        <v>816</v>
      </c>
      <c r="R39" s="135">
        <v>2</v>
      </c>
      <c r="S39" s="136" t="s">
        <v>1446</v>
      </c>
      <c r="T39" s="137" t="s">
        <v>1447</v>
      </c>
      <c r="U39" s="135">
        <v>2</v>
      </c>
      <c r="V39" s="136" t="s">
        <v>1448</v>
      </c>
      <c r="W39" s="135" t="s">
        <v>820</v>
      </c>
      <c r="X39" s="135">
        <v>0</v>
      </c>
      <c r="Y39" s="141" t="s">
        <v>869</v>
      </c>
      <c r="Z39" s="141" t="s">
        <v>869</v>
      </c>
      <c r="AA39" s="135">
        <v>0</v>
      </c>
      <c r="AB39" s="141" t="s">
        <v>869</v>
      </c>
      <c r="AC39" s="141" t="s">
        <v>869</v>
      </c>
      <c r="AD39" s="135">
        <v>0</v>
      </c>
      <c r="AE39" s="141" t="s">
        <v>869</v>
      </c>
      <c r="AF39" s="141" t="s">
        <v>869</v>
      </c>
      <c r="AG39" s="135">
        <v>0</v>
      </c>
      <c r="AH39" s="141" t="s">
        <v>869</v>
      </c>
      <c r="AI39" s="141" t="s">
        <v>869</v>
      </c>
      <c r="AJ39" s="135">
        <v>0</v>
      </c>
      <c r="AK39" s="141" t="s">
        <v>869</v>
      </c>
      <c r="AL39" s="141" t="s">
        <v>869</v>
      </c>
      <c r="AM39" s="135">
        <v>2</v>
      </c>
      <c r="AN39" s="136" t="s">
        <v>1449</v>
      </c>
      <c r="AO39" s="137" t="s">
        <v>1450</v>
      </c>
      <c r="AP39" s="135">
        <v>0</v>
      </c>
      <c r="AQ39" s="141" t="s">
        <v>869</v>
      </c>
      <c r="AR39" s="141" t="s">
        <v>869</v>
      </c>
      <c r="AS39" s="135">
        <v>0</v>
      </c>
      <c r="AT39" s="141" t="s">
        <v>869</v>
      </c>
      <c r="AU39" s="141" t="s">
        <v>869</v>
      </c>
      <c r="AV39" s="135">
        <v>0</v>
      </c>
      <c r="AW39" s="141" t="s">
        <v>869</v>
      </c>
      <c r="AX39" s="141" t="s">
        <v>869</v>
      </c>
      <c r="AY39" s="135">
        <v>2</v>
      </c>
      <c r="AZ39" s="136" t="s">
        <v>1451</v>
      </c>
      <c r="BA39" s="137" t="s">
        <v>1452</v>
      </c>
      <c r="BB39" s="135">
        <v>0</v>
      </c>
      <c r="BC39" s="141" t="s">
        <v>869</v>
      </c>
      <c r="BD39" s="141" t="s">
        <v>869</v>
      </c>
      <c r="BE39" s="135">
        <v>0</v>
      </c>
      <c r="BF39" s="141" t="s">
        <v>869</v>
      </c>
      <c r="BG39" s="141" t="s">
        <v>869</v>
      </c>
      <c r="BH39" s="135">
        <v>0</v>
      </c>
      <c r="BI39" s="141" t="s">
        <v>869</v>
      </c>
      <c r="BJ39" s="141" t="s">
        <v>869</v>
      </c>
      <c r="BK39" s="135">
        <v>0</v>
      </c>
      <c r="BL39" s="141" t="s">
        <v>869</v>
      </c>
      <c r="BM39" s="141" t="s">
        <v>869</v>
      </c>
      <c r="BN39" s="135">
        <v>0</v>
      </c>
      <c r="BO39" s="141" t="s">
        <v>869</v>
      </c>
      <c r="BP39" s="141" t="s">
        <v>869</v>
      </c>
      <c r="BQ39" s="135">
        <v>0</v>
      </c>
      <c r="BR39" s="141" t="s">
        <v>869</v>
      </c>
      <c r="BS39" s="141" t="s">
        <v>869</v>
      </c>
      <c r="BT39" s="135">
        <v>0</v>
      </c>
      <c r="BU39" s="141" t="s">
        <v>869</v>
      </c>
      <c r="BV39" s="141" t="s">
        <v>869</v>
      </c>
      <c r="BW39" s="135">
        <v>0</v>
      </c>
      <c r="BX39" s="141" t="s">
        <v>869</v>
      </c>
      <c r="BY39" s="141" t="s">
        <v>869</v>
      </c>
      <c r="BZ39" s="135">
        <v>2</v>
      </c>
      <c r="CA39" s="135" t="s">
        <v>1453</v>
      </c>
      <c r="CB39" s="137" t="s">
        <v>1454</v>
      </c>
      <c r="CC39" s="135">
        <v>0</v>
      </c>
      <c r="CD39" s="141" t="s">
        <v>869</v>
      </c>
      <c r="CE39" s="141" t="s">
        <v>869</v>
      </c>
      <c r="CF39" s="135">
        <v>0</v>
      </c>
      <c r="CG39" s="141" t="s">
        <v>869</v>
      </c>
      <c r="CH39" s="141" t="s">
        <v>869</v>
      </c>
      <c r="CI39" s="135">
        <v>0</v>
      </c>
      <c r="CJ39" s="141" t="s">
        <v>869</v>
      </c>
      <c r="CK39" s="141" t="s">
        <v>869</v>
      </c>
      <c r="CL39" s="135">
        <v>2</v>
      </c>
      <c r="CM39" s="135"/>
      <c r="CN39" s="135"/>
      <c r="CO39" s="135">
        <v>0</v>
      </c>
      <c r="CP39" s="141" t="s">
        <v>869</v>
      </c>
      <c r="CQ39" s="141" t="s">
        <v>869</v>
      </c>
      <c r="CR39" s="135">
        <v>0</v>
      </c>
      <c r="CS39" s="141" t="s">
        <v>869</v>
      </c>
      <c r="CT39" s="141" t="s">
        <v>869</v>
      </c>
      <c r="CU39" s="135">
        <v>0</v>
      </c>
      <c r="CV39" s="141" t="s">
        <v>869</v>
      </c>
      <c r="CW39" s="141" t="s">
        <v>869</v>
      </c>
      <c r="CX39" s="135">
        <v>0</v>
      </c>
      <c r="CY39" s="141" t="s">
        <v>869</v>
      </c>
      <c r="CZ39" s="141" t="s">
        <v>869</v>
      </c>
    </row>
    <row r="40" spans="1:104">
      <c r="A40" s="133" t="s">
        <v>1455</v>
      </c>
      <c r="B40" s="165">
        <v>1</v>
      </c>
      <c r="C40" s="135">
        <v>1</v>
      </c>
      <c r="D40" s="171" t="s">
        <v>1456</v>
      </c>
      <c r="E40" s="135"/>
      <c r="F40" s="135">
        <v>0</v>
      </c>
      <c r="G40" s="141" t="s">
        <v>869</v>
      </c>
      <c r="H40" s="141" t="s">
        <v>869</v>
      </c>
      <c r="I40" s="135">
        <v>0.5</v>
      </c>
      <c r="J40" s="172" t="s">
        <v>1457</v>
      </c>
      <c r="K40" s="135"/>
      <c r="L40" s="135">
        <v>1</v>
      </c>
      <c r="M40" s="171" t="s">
        <v>1456</v>
      </c>
      <c r="N40" s="135"/>
      <c r="O40" s="135">
        <v>0</v>
      </c>
      <c r="P40" s="141" t="s">
        <v>869</v>
      </c>
      <c r="Q40" s="141" t="s">
        <v>869</v>
      </c>
      <c r="R40" s="135">
        <v>0.5</v>
      </c>
      <c r="S40" s="171" t="s">
        <v>1458</v>
      </c>
      <c r="T40" s="135"/>
      <c r="U40" s="135">
        <v>0</v>
      </c>
      <c r="V40" s="141" t="s">
        <v>869</v>
      </c>
      <c r="W40" s="141" t="s">
        <v>869</v>
      </c>
      <c r="X40" s="135">
        <v>0</v>
      </c>
      <c r="Y40" s="141" t="s">
        <v>869</v>
      </c>
      <c r="Z40" s="141" t="s">
        <v>869</v>
      </c>
      <c r="AA40" s="135">
        <v>0</v>
      </c>
      <c r="AB40" s="141" t="s">
        <v>869</v>
      </c>
      <c r="AC40" s="141" t="s">
        <v>869</v>
      </c>
      <c r="AD40" s="135">
        <v>0</v>
      </c>
      <c r="AE40" s="141" t="s">
        <v>869</v>
      </c>
      <c r="AF40" s="141" t="s">
        <v>869</v>
      </c>
      <c r="AG40" s="135">
        <v>0</v>
      </c>
      <c r="AH40" s="141" t="s">
        <v>869</v>
      </c>
      <c r="AI40" s="141" t="s">
        <v>869</v>
      </c>
      <c r="AJ40" s="135">
        <v>0</v>
      </c>
      <c r="AK40" s="141" t="s">
        <v>869</v>
      </c>
      <c r="AL40" s="141" t="s">
        <v>869</v>
      </c>
      <c r="AM40" s="135">
        <v>0</v>
      </c>
      <c r="AN40" s="141" t="s">
        <v>869</v>
      </c>
      <c r="AO40" s="141" t="s">
        <v>869</v>
      </c>
      <c r="AP40" s="135">
        <v>0</v>
      </c>
      <c r="AQ40" s="141" t="s">
        <v>869</v>
      </c>
      <c r="AR40" s="141" t="s">
        <v>869</v>
      </c>
      <c r="AS40" s="135">
        <v>0</v>
      </c>
      <c r="AT40" s="141" t="s">
        <v>869</v>
      </c>
      <c r="AU40" s="141" t="s">
        <v>869</v>
      </c>
      <c r="AV40" s="135">
        <v>0</v>
      </c>
      <c r="AW40" s="141" t="s">
        <v>869</v>
      </c>
      <c r="AX40" s="141" t="s">
        <v>869</v>
      </c>
      <c r="AY40" s="135">
        <v>0</v>
      </c>
      <c r="AZ40" s="141" t="s">
        <v>869</v>
      </c>
      <c r="BA40" s="141" t="s">
        <v>869</v>
      </c>
      <c r="BB40" s="135">
        <v>0</v>
      </c>
      <c r="BC40" s="141" t="s">
        <v>869</v>
      </c>
      <c r="BD40" s="141" t="s">
        <v>869</v>
      </c>
      <c r="BE40" s="135">
        <v>0</v>
      </c>
      <c r="BF40" s="141" t="s">
        <v>869</v>
      </c>
      <c r="BG40" s="141" t="s">
        <v>869</v>
      </c>
      <c r="BH40" s="135">
        <v>0</v>
      </c>
      <c r="BI40" s="141" t="s">
        <v>869</v>
      </c>
      <c r="BJ40" s="141" t="s">
        <v>869</v>
      </c>
      <c r="BK40" s="135">
        <v>0</v>
      </c>
      <c r="BL40" s="141" t="s">
        <v>869</v>
      </c>
      <c r="BM40" s="141" t="s">
        <v>869</v>
      </c>
      <c r="BN40" s="135">
        <v>0</v>
      </c>
      <c r="BO40" s="141" t="s">
        <v>869</v>
      </c>
      <c r="BP40" s="141" t="s">
        <v>869</v>
      </c>
      <c r="BQ40" s="135">
        <v>0</v>
      </c>
      <c r="BR40" s="141" t="s">
        <v>869</v>
      </c>
      <c r="BS40" s="141" t="s">
        <v>869</v>
      </c>
      <c r="BT40" s="135">
        <v>0</v>
      </c>
      <c r="BU40" s="141" t="s">
        <v>869</v>
      </c>
      <c r="BV40" s="141" t="s">
        <v>869</v>
      </c>
      <c r="BW40" s="135">
        <v>0</v>
      </c>
      <c r="BX40" s="141" t="s">
        <v>869</v>
      </c>
      <c r="BY40" s="141" t="s">
        <v>869</v>
      </c>
      <c r="BZ40" s="135">
        <v>0</v>
      </c>
      <c r="CA40" s="141" t="s">
        <v>869</v>
      </c>
      <c r="CB40" s="141" t="s">
        <v>869</v>
      </c>
      <c r="CC40" s="135">
        <v>0</v>
      </c>
      <c r="CD40" s="141" t="s">
        <v>869</v>
      </c>
      <c r="CE40" s="141" t="s">
        <v>869</v>
      </c>
      <c r="CF40" s="135">
        <v>0</v>
      </c>
      <c r="CG40" s="141" t="s">
        <v>869</v>
      </c>
      <c r="CH40" s="141" t="s">
        <v>869</v>
      </c>
      <c r="CI40" s="135">
        <v>0</v>
      </c>
      <c r="CJ40" s="141" t="s">
        <v>869</v>
      </c>
      <c r="CK40" s="141" t="s">
        <v>869</v>
      </c>
      <c r="CL40" s="135">
        <v>0</v>
      </c>
      <c r="CM40" s="141" t="s">
        <v>869</v>
      </c>
      <c r="CN40" s="141" t="s">
        <v>869</v>
      </c>
      <c r="CO40" s="135">
        <v>0</v>
      </c>
      <c r="CP40" s="141" t="s">
        <v>869</v>
      </c>
      <c r="CQ40" s="141" t="s">
        <v>869</v>
      </c>
      <c r="CR40" s="135">
        <v>0</v>
      </c>
      <c r="CS40" s="141" t="s">
        <v>869</v>
      </c>
      <c r="CT40" s="141" t="s">
        <v>869</v>
      </c>
      <c r="CU40" s="135">
        <v>0</v>
      </c>
      <c r="CV40" s="141" t="s">
        <v>869</v>
      </c>
      <c r="CW40" s="141" t="s">
        <v>869</v>
      </c>
      <c r="CX40" s="135">
        <v>0</v>
      </c>
      <c r="CY40" s="141" t="s">
        <v>869</v>
      </c>
      <c r="CZ40" s="141" t="s">
        <v>869</v>
      </c>
    </row>
    <row r="41" spans="1:104">
      <c r="A41" s="133" t="s">
        <v>1459</v>
      </c>
      <c r="B41" s="165">
        <v>3</v>
      </c>
      <c r="C41" s="135">
        <v>2</v>
      </c>
      <c r="D41" s="136" t="s">
        <v>1460</v>
      </c>
      <c r="E41" s="137" t="s">
        <v>1461</v>
      </c>
      <c r="F41" s="135">
        <v>0</v>
      </c>
      <c r="G41" s="141" t="s">
        <v>869</v>
      </c>
      <c r="H41" s="141" t="s">
        <v>869</v>
      </c>
      <c r="I41" s="135">
        <v>3</v>
      </c>
      <c r="J41" s="136" t="s">
        <v>1462</v>
      </c>
      <c r="K41" s="137" t="s">
        <v>1463</v>
      </c>
      <c r="L41" s="135">
        <v>3</v>
      </c>
      <c r="M41" s="173" t="s">
        <v>1464</v>
      </c>
      <c r="N41" s="137" t="s">
        <v>1465</v>
      </c>
      <c r="O41" s="135">
        <v>2.5</v>
      </c>
      <c r="P41" s="136" t="s">
        <v>1466</v>
      </c>
      <c r="Q41" s="137" t="s">
        <v>1465</v>
      </c>
      <c r="R41" s="135">
        <v>2</v>
      </c>
      <c r="S41" s="136" t="s">
        <v>1467</v>
      </c>
      <c r="T41" s="137" t="s">
        <v>1465</v>
      </c>
      <c r="U41" s="135">
        <v>3</v>
      </c>
      <c r="V41" s="136" t="s">
        <v>1468</v>
      </c>
      <c r="W41" s="137" t="s">
        <v>1469</v>
      </c>
      <c r="X41" s="135">
        <v>2</v>
      </c>
      <c r="Y41" s="173" t="s">
        <v>1470</v>
      </c>
      <c r="Z41" s="137" t="s">
        <v>1465</v>
      </c>
      <c r="AA41" s="135">
        <v>0</v>
      </c>
      <c r="AB41" s="141" t="s">
        <v>869</v>
      </c>
      <c r="AC41" s="135" t="s">
        <v>869</v>
      </c>
      <c r="AD41" s="135">
        <v>2.5</v>
      </c>
      <c r="AE41" s="173" t="s">
        <v>1471</v>
      </c>
      <c r="AF41" s="137" t="s">
        <v>1465</v>
      </c>
      <c r="AG41" s="135">
        <v>0</v>
      </c>
      <c r="AH41" s="141" t="s">
        <v>869</v>
      </c>
      <c r="AI41" s="141" t="s">
        <v>869</v>
      </c>
      <c r="AJ41" s="135">
        <v>0</v>
      </c>
      <c r="AK41" s="141" t="s">
        <v>869</v>
      </c>
      <c r="AL41" s="141" t="s">
        <v>869</v>
      </c>
      <c r="AM41" s="135">
        <v>0</v>
      </c>
      <c r="AN41" s="141" t="s">
        <v>869</v>
      </c>
      <c r="AO41" s="141" t="s">
        <v>869</v>
      </c>
      <c r="AP41" s="135">
        <v>0</v>
      </c>
      <c r="AQ41" s="141" t="s">
        <v>869</v>
      </c>
      <c r="AR41" s="141" t="s">
        <v>869</v>
      </c>
      <c r="AS41" s="135">
        <v>0</v>
      </c>
      <c r="AT41" s="141" t="s">
        <v>869</v>
      </c>
      <c r="AU41" s="141" t="s">
        <v>869</v>
      </c>
      <c r="AV41" s="135">
        <v>0</v>
      </c>
      <c r="AW41" s="141" t="s">
        <v>869</v>
      </c>
      <c r="AX41" s="141" t="s">
        <v>869</v>
      </c>
      <c r="AY41" s="135">
        <v>0</v>
      </c>
      <c r="AZ41" s="141" t="s">
        <v>869</v>
      </c>
      <c r="BA41" s="141" t="s">
        <v>869</v>
      </c>
      <c r="BB41" s="135">
        <v>0</v>
      </c>
      <c r="BC41" s="141" t="s">
        <v>869</v>
      </c>
      <c r="BD41" s="141" t="s">
        <v>869</v>
      </c>
      <c r="BE41" s="135">
        <v>0</v>
      </c>
      <c r="BF41" s="141" t="s">
        <v>869</v>
      </c>
      <c r="BG41" s="141" t="s">
        <v>869</v>
      </c>
      <c r="BH41" s="135">
        <v>0</v>
      </c>
      <c r="BI41" s="141" t="s">
        <v>869</v>
      </c>
      <c r="BJ41" s="141" t="s">
        <v>869</v>
      </c>
      <c r="BK41" s="135">
        <v>0</v>
      </c>
      <c r="BL41" s="141" t="s">
        <v>869</v>
      </c>
      <c r="BM41" s="141" t="s">
        <v>869</v>
      </c>
      <c r="BN41" s="135">
        <v>0</v>
      </c>
      <c r="BO41" s="141" t="s">
        <v>869</v>
      </c>
      <c r="BP41" s="141" t="s">
        <v>869</v>
      </c>
      <c r="BQ41" s="135">
        <v>0</v>
      </c>
      <c r="BR41" s="141" t="s">
        <v>869</v>
      </c>
      <c r="BS41" s="141" t="s">
        <v>869</v>
      </c>
      <c r="BT41" s="135">
        <v>0</v>
      </c>
      <c r="BU41" s="141" t="s">
        <v>869</v>
      </c>
      <c r="BV41" s="141" t="s">
        <v>869</v>
      </c>
      <c r="BW41" s="135">
        <v>0</v>
      </c>
      <c r="BX41" s="141" t="s">
        <v>869</v>
      </c>
      <c r="BY41" s="141" t="s">
        <v>869</v>
      </c>
      <c r="BZ41" s="135">
        <v>0</v>
      </c>
      <c r="CA41" s="141" t="s">
        <v>869</v>
      </c>
      <c r="CB41" s="141" t="s">
        <v>869</v>
      </c>
      <c r="CC41" s="135">
        <v>0</v>
      </c>
      <c r="CD41" s="141" t="s">
        <v>869</v>
      </c>
      <c r="CE41" s="141" t="s">
        <v>869</v>
      </c>
      <c r="CF41" s="135">
        <v>0</v>
      </c>
      <c r="CG41" s="141" t="s">
        <v>869</v>
      </c>
      <c r="CH41" s="141" t="s">
        <v>869</v>
      </c>
      <c r="CI41" s="135">
        <v>0</v>
      </c>
      <c r="CJ41" s="141" t="s">
        <v>869</v>
      </c>
      <c r="CK41" s="141" t="s">
        <v>869</v>
      </c>
      <c r="CL41" s="135">
        <v>0</v>
      </c>
      <c r="CM41" s="141" t="s">
        <v>869</v>
      </c>
      <c r="CN41" s="141" t="s">
        <v>869</v>
      </c>
      <c r="CO41" s="135">
        <v>0</v>
      </c>
      <c r="CP41" s="141" t="s">
        <v>869</v>
      </c>
      <c r="CQ41" s="141" t="s">
        <v>869</v>
      </c>
      <c r="CR41" s="135">
        <v>0</v>
      </c>
      <c r="CS41" s="141" t="s">
        <v>869</v>
      </c>
      <c r="CT41" s="141" t="s">
        <v>869</v>
      </c>
      <c r="CU41" s="135">
        <v>0</v>
      </c>
      <c r="CV41" s="141" t="s">
        <v>869</v>
      </c>
      <c r="CW41" s="141" t="s">
        <v>869</v>
      </c>
      <c r="CX41" s="135">
        <v>0</v>
      </c>
      <c r="CY41" s="141" t="s">
        <v>869</v>
      </c>
      <c r="CZ41" s="141" t="s">
        <v>869</v>
      </c>
    </row>
    <row r="42" spans="1:104">
      <c r="A42" s="133" t="s">
        <v>1472</v>
      </c>
      <c r="B42" s="165">
        <v>3</v>
      </c>
      <c r="C42" s="135">
        <v>2</v>
      </c>
      <c r="D42" s="136" t="s">
        <v>1473</v>
      </c>
      <c r="E42" s="140" t="s">
        <v>1461</v>
      </c>
      <c r="F42" s="135">
        <v>0.5</v>
      </c>
      <c r="G42" s="136" t="s">
        <v>1474</v>
      </c>
      <c r="H42" s="137" t="s">
        <v>1469</v>
      </c>
      <c r="I42" s="135">
        <v>0.5</v>
      </c>
      <c r="J42" s="136" t="s">
        <v>1475</v>
      </c>
      <c r="K42" s="135" t="s">
        <v>277</v>
      </c>
      <c r="L42" s="135">
        <v>2.5</v>
      </c>
      <c r="M42" s="173" t="s">
        <v>1476</v>
      </c>
      <c r="N42" s="137" t="s">
        <v>1469</v>
      </c>
      <c r="O42" s="135">
        <v>2.5</v>
      </c>
      <c r="P42" s="136" t="s">
        <v>1477</v>
      </c>
      <c r="Q42" s="137" t="s">
        <v>1465</v>
      </c>
      <c r="R42" s="135">
        <v>2.5</v>
      </c>
      <c r="S42" s="136" t="s">
        <v>1478</v>
      </c>
      <c r="T42" s="137" t="s">
        <v>1465</v>
      </c>
      <c r="U42" s="135">
        <v>2.5</v>
      </c>
      <c r="V42" s="136" t="s">
        <v>1479</v>
      </c>
      <c r="W42" s="137" t="s">
        <v>1469</v>
      </c>
      <c r="X42" s="135">
        <v>0.5</v>
      </c>
      <c r="Y42" s="135" t="s">
        <v>1480</v>
      </c>
      <c r="Z42" s="137" t="s">
        <v>1469</v>
      </c>
      <c r="AA42" s="135">
        <v>2</v>
      </c>
      <c r="AB42" s="136" t="s">
        <v>1481</v>
      </c>
      <c r="AC42" s="137" t="s">
        <v>1482</v>
      </c>
      <c r="AD42" s="135">
        <v>0</v>
      </c>
      <c r="AE42" s="141" t="s">
        <v>869</v>
      </c>
      <c r="AF42" s="141" t="s">
        <v>869</v>
      </c>
      <c r="AG42" s="135">
        <v>0.5</v>
      </c>
      <c r="AH42" s="136" t="s">
        <v>1483</v>
      </c>
      <c r="AI42" s="135" t="s">
        <v>828</v>
      </c>
      <c r="AJ42" s="135">
        <v>0</v>
      </c>
      <c r="AK42" s="141" t="s">
        <v>869</v>
      </c>
      <c r="AL42" s="141" t="s">
        <v>869</v>
      </c>
      <c r="AM42" s="135">
        <v>0.5</v>
      </c>
      <c r="AN42" s="135" t="s">
        <v>1480</v>
      </c>
      <c r="AO42" s="135" t="s">
        <v>832</v>
      </c>
      <c r="AP42" s="135">
        <v>0</v>
      </c>
      <c r="AQ42" s="141" t="s">
        <v>869</v>
      </c>
      <c r="AR42" s="141" t="s">
        <v>869</v>
      </c>
      <c r="AS42" s="135">
        <v>0.5</v>
      </c>
      <c r="AT42" s="135" t="s">
        <v>1480</v>
      </c>
      <c r="AU42" s="137" t="s">
        <v>1469</v>
      </c>
      <c r="AV42" s="135">
        <v>0</v>
      </c>
      <c r="AW42" s="141" t="s">
        <v>869</v>
      </c>
      <c r="AX42" s="141" t="s">
        <v>869</v>
      </c>
      <c r="AY42" s="135">
        <v>0.5</v>
      </c>
      <c r="AZ42" s="135" t="s">
        <v>1480</v>
      </c>
      <c r="BA42" s="137" t="s">
        <v>1469</v>
      </c>
      <c r="BB42" s="135">
        <v>0.5</v>
      </c>
      <c r="BC42" s="136" t="s">
        <v>1484</v>
      </c>
      <c r="BD42" s="137" t="s">
        <v>1469</v>
      </c>
      <c r="BE42" s="135">
        <v>0</v>
      </c>
      <c r="BF42" s="141" t="s">
        <v>869</v>
      </c>
      <c r="BG42" s="141" t="s">
        <v>869</v>
      </c>
      <c r="BH42" s="135">
        <v>0.5</v>
      </c>
      <c r="BI42" s="173" t="s">
        <v>1485</v>
      </c>
      <c r="BJ42" s="137" t="s">
        <v>1469</v>
      </c>
      <c r="BK42" s="135">
        <v>0.5</v>
      </c>
      <c r="BL42" s="136" t="s">
        <v>1484</v>
      </c>
      <c r="BM42" s="137" t="s">
        <v>1469</v>
      </c>
      <c r="BN42" s="135">
        <v>0.5</v>
      </c>
      <c r="BO42" s="152" t="s">
        <v>1486</v>
      </c>
      <c r="BP42" s="137" t="s">
        <v>1469</v>
      </c>
      <c r="BQ42" s="135">
        <v>0</v>
      </c>
      <c r="BR42" s="141" t="s">
        <v>869</v>
      </c>
      <c r="BS42" s="141" t="s">
        <v>869</v>
      </c>
      <c r="BT42" s="135">
        <v>0</v>
      </c>
      <c r="BU42" s="141" t="s">
        <v>869</v>
      </c>
      <c r="BV42" s="141" t="s">
        <v>869</v>
      </c>
      <c r="BW42" s="135">
        <v>0</v>
      </c>
      <c r="BX42" s="141" t="s">
        <v>869</v>
      </c>
      <c r="BY42" s="141" t="s">
        <v>869</v>
      </c>
      <c r="BZ42" s="135">
        <v>0</v>
      </c>
      <c r="CA42" s="141" t="s">
        <v>869</v>
      </c>
      <c r="CB42" s="141" t="s">
        <v>869</v>
      </c>
      <c r="CC42" s="135">
        <v>0</v>
      </c>
      <c r="CD42" s="141" t="s">
        <v>869</v>
      </c>
      <c r="CE42" s="141" t="s">
        <v>869</v>
      </c>
      <c r="CF42" s="135">
        <v>0.5</v>
      </c>
      <c r="CG42" s="136" t="s">
        <v>1487</v>
      </c>
      <c r="CH42" s="137" t="s">
        <v>1469</v>
      </c>
      <c r="CI42" s="135">
        <v>0</v>
      </c>
      <c r="CJ42" s="141" t="s">
        <v>869</v>
      </c>
      <c r="CK42" s="141" t="s">
        <v>869</v>
      </c>
      <c r="CL42" s="135">
        <v>0</v>
      </c>
      <c r="CM42" s="141" t="s">
        <v>869</v>
      </c>
      <c r="CN42" s="141" t="s">
        <v>869</v>
      </c>
      <c r="CO42" s="135">
        <v>0.5</v>
      </c>
      <c r="CP42" s="135" t="s">
        <v>1480</v>
      </c>
      <c r="CQ42" s="140" t="s">
        <v>1465</v>
      </c>
      <c r="CR42" s="135">
        <v>0.5</v>
      </c>
      <c r="CS42" s="136" t="s">
        <v>1488</v>
      </c>
      <c r="CT42" s="135" t="s">
        <v>868</v>
      </c>
      <c r="CU42" s="135">
        <v>0</v>
      </c>
      <c r="CV42" s="141" t="s">
        <v>869</v>
      </c>
      <c r="CW42" s="141" t="s">
        <v>869</v>
      </c>
      <c r="CX42" s="135">
        <v>0</v>
      </c>
      <c r="CY42" s="141" t="s">
        <v>869</v>
      </c>
      <c r="CZ42" s="141" t="s">
        <v>869</v>
      </c>
    </row>
    <row r="43" spans="1:104">
      <c r="A43" s="158" t="s">
        <v>1489</v>
      </c>
      <c r="B43" s="165">
        <f>SUM(B44:B47)</f>
        <v>3</v>
      </c>
      <c r="C43" s="165">
        <f t="shared" ref="C43:BN43" si="22">SUM(C44:C47)</f>
        <v>3</v>
      </c>
      <c r="D43" s="165">
        <f t="shared" si="22"/>
        <v>0</v>
      </c>
      <c r="E43" s="165">
        <f t="shared" si="22"/>
        <v>0</v>
      </c>
      <c r="F43" s="165">
        <f t="shared" si="22"/>
        <v>3</v>
      </c>
      <c r="G43" s="165">
        <f t="shared" si="22"/>
        <v>0</v>
      </c>
      <c r="H43" s="165">
        <f t="shared" si="22"/>
        <v>0</v>
      </c>
      <c r="I43" s="165">
        <f t="shared" si="22"/>
        <v>0</v>
      </c>
      <c r="J43" s="165">
        <f t="shared" si="22"/>
        <v>0</v>
      </c>
      <c r="K43" s="165">
        <f t="shared" si="22"/>
        <v>0</v>
      </c>
      <c r="L43" s="165">
        <f t="shared" si="22"/>
        <v>0</v>
      </c>
      <c r="M43" s="165">
        <f t="shared" si="22"/>
        <v>0</v>
      </c>
      <c r="N43" s="165">
        <f t="shared" si="22"/>
        <v>0</v>
      </c>
      <c r="O43" s="165">
        <f t="shared" si="22"/>
        <v>4.5</v>
      </c>
      <c r="P43" s="165">
        <f t="shared" si="22"/>
        <v>0</v>
      </c>
      <c r="Q43" s="165">
        <f t="shared" si="22"/>
        <v>0</v>
      </c>
      <c r="R43" s="165">
        <f t="shared" si="22"/>
        <v>2</v>
      </c>
      <c r="S43" s="165">
        <f t="shared" si="22"/>
        <v>0</v>
      </c>
      <c r="T43" s="165">
        <f t="shared" si="22"/>
        <v>0</v>
      </c>
      <c r="U43" s="165">
        <f t="shared" si="22"/>
        <v>2</v>
      </c>
      <c r="V43" s="165">
        <f t="shared" si="22"/>
        <v>0</v>
      </c>
      <c r="W43" s="165">
        <f t="shared" si="22"/>
        <v>0</v>
      </c>
      <c r="X43" s="165">
        <f t="shared" si="22"/>
        <v>3</v>
      </c>
      <c r="Y43" s="165">
        <f t="shared" si="22"/>
        <v>0</v>
      </c>
      <c r="Z43" s="165">
        <f t="shared" si="22"/>
        <v>0</v>
      </c>
      <c r="AA43" s="165">
        <f t="shared" si="22"/>
        <v>1</v>
      </c>
      <c r="AB43" s="165">
        <f t="shared" si="22"/>
        <v>0</v>
      </c>
      <c r="AC43" s="165">
        <f t="shared" si="22"/>
        <v>0</v>
      </c>
      <c r="AD43" s="165">
        <f t="shared" si="22"/>
        <v>3.5</v>
      </c>
      <c r="AE43" s="165">
        <f t="shared" si="22"/>
        <v>0</v>
      </c>
      <c r="AF43" s="165">
        <f t="shared" si="22"/>
        <v>0</v>
      </c>
      <c r="AG43" s="165">
        <f t="shared" si="22"/>
        <v>1</v>
      </c>
      <c r="AH43" s="165">
        <f t="shared" si="22"/>
        <v>0</v>
      </c>
      <c r="AI43" s="165">
        <f t="shared" si="22"/>
        <v>0</v>
      </c>
      <c r="AJ43" s="165">
        <f t="shared" si="22"/>
        <v>0</v>
      </c>
      <c r="AK43" s="165">
        <f t="shared" si="22"/>
        <v>0</v>
      </c>
      <c r="AL43" s="165">
        <f t="shared" si="22"/>
        <v>0</v>
      </c>
      <c r="AM43" s="165">
        <f t="shared" si="22"/>
        <v>2</v>
      </c>
      <c r="AN43" s="165">
        <f t="shared" si="22"/>
        <v>0</v>
      </c>
      <c r="AO43" s="165">
        <f t="shared" si="22"/>
        <v>0</v>
      </c>
      <c r="AP43" s="165">
        <f t="shared" si="22"/>
        <v>0</v>
      </c>
      <c r="AQ43" s="165">
        <f t="shared" si="22"/>
        <v>0</v>
      </c>
      <c r="AR43" s="165">
        <f t="shared" si="22"/>
        <v>0</v>
      </c>
      <c r="AS43" s="165">
        <f t="shared" si="22"/>
        <v>0</v>
      </c>
      <c r="AT43" s="165">
        <f t="shared" si="22"/>
        <v>0</v>
      </c>
      <c r="AU43" s="165">
        <f t="shared" si="22"/>
        <v>0</v>
      </c>
      <c r="AV43" s="165">
        <f t="shared" si="22"/>
        <v>1</v>
      </c>
      <c r="AW43" s="165">
        <f t="shared" si="22"/>
        <v>0</v>
      </c>
      <c r="AX43" s="165">
        <f t="shared" si="22"/>
        <v>0</v>
      </c>
      <c r="AY43" s="165">
        <f t="shared" si="22"/>
        <v>1</v>
      </c>
      <c r="AZ43" s="165">
        <f t="shared" si="22"/>
        <v>0</v>
      </c>
      <c r="BA43" s="165">
        <f t="shared" si="22"/>
        <v>0</v>
      </c>
      <c r="BB43" s="165">
        <f t="shared" si="22"/>
        <v>1</v>
      </c>
      <c r="BC43" s="165">
        <f t="shared" si="22"/>
        <v>0</v>
      </c>
      <c r="BD43" s="165">
        <f t="shared" si="22"/>
        <v>0</v>
      </c>
      <c r="BE43" s="165">
        <f t="shared" si="22"/>
        <v>0</v>
      </c>
      <c r="BF43" s="165">
        <f t="shared" si="22"/>
        <v>0</v>
      </c>
      <c r="BG43" s="165">
        <f t="shared" si="22"/>
        <v>0</v>
      </c>
      <c r="BH43" s="165">
        <f t="shared" si="22"/>
        <v>1</v>
      </c>
      <c r="BI43" s="165">
        <f t="shared" si="22"/>
        <v>0</v>
      </c>
      <c r="BJ43" s="165">
        <f t="shared" si="22"/>
        <v>0</v>
      </c>
      <c r="BK43" s="165">
        <f t="shared" si="22"/>
        <v>0</v>
      </c>
      <c r="BL43" s="165">
        <f t="shared" si="22"/>
        <v>0</v>
      </c>
      <c r="BM43" s="165">
        <f t="shared" si="22"/>
        <v>0</v>
      </c>
      <c r="BN43" s="165">
        <f t="shared" si="22"/>
        <v>0</v>
      </c>
      <c r="BO43" s="165">
        <f t="shared" ref="BO43:CX43" si="23">SUM(BO44:BO47)</f>
        <v>0</v>
      </c>
      <c r="BP43" s="165">
        <f t="shared" si="23"/>
        <v>0</v>
      </c>
      <c r="BQ43" s="165">
        <f t="shared" si="23"/>
        <v>0</v>
      </c>
      <c r="BR43" s="165">
        <f t="shared" si="23"/>
        <v>0</v>
      </c>
      <c r="BS43" s="165">
        <f t="shared" si="23"/>
        <v>0</v>
      </c>
      <c r="BT43" s="165">
        <f t="shared" si="23"/>
        <v>0</v>
      </c>
      <c r="BU43" s="165">
        <f t="shared" si="23"/>
        <v>0</v>
      </c>
      <c r="BV43" s="165">
        <f t="shared" si="23"/>
        <v>0</v>
      </c>
      <c r="BW43" s="165">
        <f t="shared" si="23"/>
        <v>1</v>
      </c>
      <c r="BX43" s="165">
        <f t="shared" si="23"/>
        <v>0</v>
      </c>
      <c r="BY43" s="165">
        <f t="shared" si="23"/>
        <v>0</v>
      </c>
      <c r="BZ43" s="165">
        <f t="shared" si="23"/>
        <v>1</v>
      </c>
      <c r="CA43" s="165">
        <f t="shared" si="23"/>
        <v>0</v>
      </c>
      <c r="CB43" s="165">
        <f t="shared" si="23"/>
        <v>0</v>
      </c>
      <c r="CC43" s="165">
        <f t="shared" si="23"/>
        <v>0</v>
      </c>
      <c r="CD43" s="165">
        <f t="shared" si="23"/>
        <v>0</v>
      </c>
      <c r="CE43" s="165">
        <f t="shared" si="23"/>
        <v>0</v>
      </c>
      <c r="CF43" s="165">
        <f t="shared" si="23"/>
        <v>1</v>
      </c>
      <c r="CG43" s="165">
        <f t="shared" si="23"/>
        <v>0</v>
      </c>
      <c r="CH43" s="165">
        <f t="shared" si="23"/>
        <v>0</v>
      </c>
      <c r="CI43" s="165">
        <f t="shared" si="23"/>
        <v>0</v>
      </c>
      <c r="CJ43" s="165">
        <f t="shared" si="23"/>
        <v>0</v>
      </c>
      <c r="CK43" s="165">
        <f t="shared" si="23"/>
        <v>0</v>
      </c>
      <c r="CL43" s="165">
        <f t="shared" si="23"/>
        <v>0</v>
      </c>
      <c r="CM43" s="165">
        <f t="shared" si="23"/>
        <v>0</v>
      </c>
      <c r="CN43" s="165">
        <f t="shared" si="23"/>
        <v>0</v>
      </c>
      <c r="CO43" s="165">
        <f t="shared" si="23"/>
        <v>0</v>
      </c>
      <c r="CP43" s="165">
        <f t="shared" si="23"/>
        <v>0</v>
      </c>
      <c r="CQ43" s="165">
        <f t="shared" si="23"/>
        <v>0</v>
      </c>
      <c r="CR43" s="165">
        <f t="shared" si="23"/>
        <v>0</v>
      </c>
      <c r="CS43" s="165">
        <f t="shared" si="23"/>
        <v>0</v>
      </c>
      <c r="CT43" s="165">
        <f t="shared" si="23"/>
        <v>0</v>
      </c>
      <c r="CU43" s="165">
        <f t="shared" si="23"/>
        <v>0</v>
      </c>
      <c r="CV43" s="165">
        <f t="shared" si="23"/>
        <v>0</v>
      </c>
      <c r="CW43" s="165">
        <f t="shared" si="23"/>
        <v>0</v>
      </c>
      <c r="CX43" s="165">
        <f t="shared" si="23"/>
        <v>0</v>
      </c>
      <c r="CY43" s="141"/>
      <c r="CZ43" s="141"/>
    </row>
    <row r="44" spans="1:104">
      <c r="A44" s="133" t="s">
        <v>1490</v>
      </c>
      <c r="B44" s="165">
        <v>1</v>
      </c>
      <c r="C44" s="135">
        <v>1</v>
      </c>
      <c r="D44" s="135" t="s">
        <v>1491</v>
      </c>
      <c r="E44" s="76" t="s">
        <v>1492</v>
      </c>
      <c r="F44" s="135">
        <v>0</v>
      </c>
      <c r="G44" s="141" t="s">
        <v>869</v>
      </c>
      <c r="H44" s="141" t="s">
        <v>869</v>
      </c>
      <c r="I44" s="135">
        <v>0</v>
      </c>
      <c r="J44" s="141" t="s">
        <v>869</v>
      </c>
      <c r="K44" s="141" t="s">
        <v>869</v>
      </c>
      <c r="L44" s="135">
        <v>0</v>
      </c>
      <c r="M44" s="141" t="s">
        <v>869</v>
      </c>
      <c r="N44" s="141" t="s">
        <v>869</v>
      </c>
      <c r="O44" s="135">
        <v>1</v>
      </c>
      <c r="P44" s="135" t="s">
        <v>1491</v>
      </c>
      <c r="Q44" s="76" t="s">
        <v>1493</v>
      </c>
      <c r="R44" s="135">
        <v>0</v>
      </c>
      <c r="S44" s="141" t="s">
        <v>869</v>
      </c>
      <c r="T44" s="141" t="s">
        <v>869</v>
      </c>
      <c r="U44" s="135">
        <v>1</v>
      </c>
      <c r="V44" s="135" t="s">
        <v>1491</v>
      </c>
      <c r="W44" s="76" t="s">
        <v>1494</v>
      </c>
      <c r="X44" s="135">
        <v>0</v>
      </c>
      <c r="Y44" s="141" t="s">
        <v>869</v>
      </c>
      <c r="Z44" s="141" t="s">
        <v>869</v>
      </c>
      <c r="AA44" s="135">
        <v>1</v>
      </c>
      <c r="AB44" s="135" t="s">
        <v>1491</v>
      </c>
      <c r="AC44" s="76" t="s">
        <v>1495</v>
      </c>
      <c r="AD44" s="135">
        <v>1</v>
      </c>
      <c r="AE44" s="135" t="s">
        <v>1491</v>
      </c>
      <c r="AF44" s="135"/>
      <c r="AG44" s="135">
        <v>1</v>
      </c>
      <c r="AH44" s="135" t="s">
        <v>1491</v>
      </c>
      <c r="AI44" s="76" t="s">
        <v>311</v>
      </c>
      <c r="AJ44" s="135">
        <v>0</v>
      </c>
      <c r="AK44" s="141" t="s">
        <v>869</v>
      </c>
      <c r="AL44" s="141" t="s">
        <v>869</v>
      </c>
      <c r="AM44" s="135">
        <v>1</v>
      </c>
      <c r="AN44" s="135" t="s">
        <v>1491</v>
      </c>
      <c r="AO44" s="76" t="s">
        <v>313</v>
      </c>
      <c r="AP44" s="135">
        <v>0</v>
      </c>
      <c r="AQ44" s="141" t="s">
        <v>869</v>
      </c>
      <c r="AR44" s="141" t="s">
        <v>869</v>
      </c>
      <c r="AS44" s="135">
        <v>0</v>
      </c>
      <c r="AT44" s="141" t="s">
        <v>869</v>
      </c>
      <c r="AU44" s="141" t="s">
        <v>869</v>
      </c>
      <c r="AV44" s="135">
        <v>1</v>
      </c>
      <c r="AW44" s="135" t="s">
        <v>1491</v>
      </c>
      <c r="AX44" s="76" t="s">
        <v>1496</v>
      </c>
      <c r="AY44" s="135">
        <v>1</v>
      </c>
      <c r="AZ44" s="135" t="s">
        <v>1491</v>
      </c>
      <c r="BA44" s="135"/>
      <c r="BB44" s="135">
        <v>1</v>
      </c>
      <c r="BC44" s="135" t="s">
        <v>1491</v>
      </c>
      <c r="BD44" s="76" t="s">
        <v>1497</v>
      </c>
      <c r="BE44" s="135">
        <v>0</v>
      </c>
      <c r="BF44" s="141" t="s">
        <v>869</v>
      </c>
      <c r="BG44" s="141" t="s">
        <v>869</v>
      </c>
      <c r="BH44" s="135">
        <v>1</v>
      </c>
      <c r="BI44" s="135" t="s">
        <v>1491</v>
      </c>
      <c r="BJ44" s="135"/>
      <c r="BK44" s="135">
        <v>0</v>
      </c>
      <c r="BL44" s="141" t="s">
        <v>869</v>
      </c>
      <c r="BM44" s="141" t="s">
        <v>869</v>
      </c>
      <c r="BN44" s="135">
        <v>0</v>
      </c>
      <c r="BO44" s="141" t="s">
        <v>869</v>
      </c>
      <c r="BP44" s="141" t="s">
        <v>869</v>
      </c>
      <c r="BQ44" s="135">
        <v>0</v>
      </c>
      <c r="BR44" s="141" t="s">
        <v>869</v>
      </c>
      <c r="BS44" s="141" t="s">
        <v>869</v>
      </c>
      <c r="BT44" s="135">
        <v>0</v>
      </c>
      <c r="BU44" s="141" t="s">
        <v>869</v>
      </c>
      <c r="BV44" s="141" t="s">
        <v>869</v>
      </c>
      <c r="BW44" s="135">
        <v>1</v>
      </c>
      <c r="BX44" s="135" t="s">
        <v>1491</v>
      </c>
      <c r="BY44" s="76" t="s">
        <v>1498</v>
      </c>
      <c r="BZ44" s="135">
        <v>1</v>
      </c>
      <c r="CA44" s="135" t="s">
        <v>1491</v>
      </c>
      <c r="CB44" s="76" t="s">
        <v>1499</v>
      </c>
      <c r="CC44" s="135">
        <v>0</v>
      </c>
      <c r="CD44" s="141" t="s">
        <v>869</v>
      </c>
      <c r="CE44" s="141" t="s">
        <v>869</v>
      </c>
      <c r="CF44" s="135">
        <v>1</v>
      </c>
      <c r="CG44" s="135" t="s">
        <v>1491</v>
      </c>
      <c r="CH44" s="76" t="s">
        <v>1500</v>
      </c>
      <c r="CI44" s="135">
        <v>0</v>
      </c>
      <c r="CJ44" s="141" t="s">
        <v>869</v>
      </c>
      <c r="CK44" s="141" t="s">
        <v>869</v>
      </c>
      <c r="CL44" s="135">
        <v>0</v>
      </c>
      <c r="CM44" s="141" t="s">
        <v>869</v>
      </c>
      <c r="CN44" s="141" t="s">
        <v>869</v>
      </c>
      <c r="CO44" s="135">
        <v>0</v>
      </c>
      <c r="CP44" s="141" t="s">
        <v>869</v>
      </c>
      <c r="CQ44" s="141" t="s">
        <v>869</v>
      </c>
      <c r="CR44" s="135">
        <v>0</v>
      </c>
      <c r="CS44" s="141" t="s">
        <v>869</v>
      </c>
      <c r="CT44" s="141" t="s">
        <v>869</v>
      </c>
      <c r="CU44" s="135">
        <v>0</v>
      </c>
      <c r="CV44" s="141" t="s">
        <v>869</v>
      </c>
      <c r="CW44" s="141" t="s">
        <v>869</v>
      </c>
      <c r="CX44" s="135">
        <v>0</v>
      </c>
      <c r="CY44" s="141" t="s">
        <v>869</v>
      </c>
      <c r="CZ44" s="141" t="s">
        <v>869</v>
      </c>
    </row>
    <row r="45" spans="1:104">
      <c r="A45" s="164" t="s">
        <v>73</v>
      </c>
      <c r="B45" s="165">
        <v>0</v>
      </c>
      <c r="C45" s="135">
        <v>0</v>
      </c>
      <c r="D45" s="135"/>
      <c r="E45" s="76"/>
      <c r="F45" s="135">
        <v>1.5</v>
      </c>
      <c r="G45" s="141"/>
      <c r="H45" s="141"/>
      <c r="I45" s="135">
        <v>0</v>
      </c>
      <c r="J45" s="141"/>
      <c r="K45" s="141"/>
      <c r="L45" s="135">
        <v>0</v>
      </c>
      <c r="M45" s="141"/>
      <c r="N45" s="141"/>
      <c r="O45" s="135">
        <v>1.5</v>
      </c>
      <c r="P45" s="135"/>
      <c r="Q45" s="76"/>
      <c r="R45" s="135">
        <v>0</v>
      </c>
      <c r="S45" s="141"/>
      <c r="T45" s="141"/>
      <c r="U45" s="135">
        <v>0</v>
      </c>
      <c r="V45" s="135"/>
      <c r="W45" s="76"/>
      <c r="X45" s="135">
        <v>1.5</v>
      </c>
      <c r="Y45" s="141"/>
      <c r="Z45" s="141"/>
      <c r="AA45" s="135">
        <v>0</v>
      </c>
      <c r="AB45" s="135"/>
      <c r="AC45" s="76"/>
      <c r="AD45" s="166">
        <v>1.5</v>
      </c>
      <c r="AE45" s="135"/>
      <c r="AF45" s="135"/>
      <c r="AG45" s="135">
        <v>0</v>
      </c>
      <c r="AH45" s="135"/>
      <c r="AI45" s="76"/>
      <c r="AJ45" s="135">
        <v>0</v>
      </c>
      <c r="AK45" s="141"/>
      <c r="AL45" s="141"/>
      <c r="AM45" s="135">
        <v>0</v>
      </c>
      <c r="AN45" s="135"/>
      <c r="AO45" s="76"/>
      <c r="AP45" s="135">
        <v>0</v>
      </c>
      <c r="AQ45" s="141"/>
      <c r="AR45" s="141"/>
      <c r="AS45" s="135">
        <v>0</v>
      </c>
      <c r="AT45" s="141"/>
      <c r="AU45" s="141"/>
      <c r="AV45" s="135">
        <v>0</v>
      </c>
      <c r="AW45" s="135"/>
      <c r="AX45" s="76"/>
      <c r="AY45" s="135">
        <v>0</v>
      </c>
      <c r="AZ45" s="135"/>
      <c r="BA45" s="135"/>
      <c r="BB45" s="135">
        <v>0</v>
      </c>
      <c r="BC45" s="135"/>
      <c r="BD45" s="76"/>
      <c r="BE45" s="135">
        <v>0</v>
      </c>
      <c r="BF45" s="141"/>
      <c r="BG45" s="141"/>
      <c r="BH45" s="135">
        <v>0</v>
      </c>
      <c r="BI45" s="135"/>
      <c r="BJ45" s="135"/>
      <c r="BK45" s="135">
        <v>0</v>
      </c>
      <c r="BL45" s="141"/>
      <c r="BM45" s="141"/>
      <c r="BN45" s="135">
        <v>0</v>
      </c>
      <c r="BO45" s="141"/>
      <c r="BP45" s="141"/>
      <c r="BQ45" s="135">
        <v>0</v>
      </c>
      <c r="BR45" s="141"/>
      <c r="BS45" s="141"/>
      <c r="BT45" s="135">
        <v>0</v>
      </c>
      <c r="BU45" s="141"/>
      <c r="BV45" s="141"/>
      <c r="BW45" s="135">
        <v>0</v>
      </c>
      <c r="BX45" s="135"/>
      <c r="BY45" s="76"/>
      <c r="BZ45" s="135">
        <v>0</v>
      </c>
      <c r="CA45" s="135"/>
      <c r="CB45" s="76"/>
      <c r="CC45" s="135">
        <v>0</v>
      </c>
      <c r="CD45" s="141"/>
      <c r="CE45" s="141"/>
      <c r="CF45" s="135">
        <v>0</v>
      </c>
      <c r="CG45" s="135"/>
      <c r="CH45" s="76"/>
      <c r="CI45" s="135">
        <v>0</v>
      </c>
      <c r="CJ45" s="141"/>
      <c r="CK45" s="141"/>
      <c r="CL45" s="135">
        <v>0</v>
      </c>
      <c r="CM45" s="141"/>
      <c r="CN45" s="141"/>
      <c r="CO45" s="135">
        <v>0</v>
      </c>
      <c r="CP45" s="141"/>
      <c r="CQ45" s="141"/>
      <c r="CR45" s="135">
        <v>0</v>
      </c>
      <c r="CS45" s="141"/>
      <c r="CT45" s="141"/>
      <c r="CU45" s="135">
        <v>0</v>
      </c>
      <c r="CV45" s="141"/>
      <c r="CW45" s="141"/>
      <c r="CX45" s="135">
        <v>0</v>
      </c>
      <c r="CY45" s="141"/>
      <c r="CZ45" s="141"/>
    </row>
    <row r="46" spans="1:104">
      <c r="A46" s="164" t="s">
        <v>74</v>
      </c>
      <c r="B46" s="165">
        <v>0</v>
      </c>
      <c r="C46" s="135">
        <v>0</v>
      </c>
      <c r="D46" s="135"/>
      <c r="E46" s="76"/>
      <c r="F46" s="135">
        <v>1.5</v>
      </c>
      <c r="G46" s="141"/>
      <c r="H46" s="141"/>
      <c r="I46" s="135">
        <v>0</v>
      </c>
      <c r="J46" s="141"/>
      <c r="K46" s="141"/>
      <c r="L46" s="135">
        <v>0</v>
      </c>
      <c r="M46" s="141"/>
      <c r="N46" s="141"/>
      <c r="O46" s="135">
        <v>0</v>
      </c>
      <c r="P46" s="135"/>
      <c r="Q46" s="76"/>
      <c r="R46" s="135">
        <v>0</v>
      </c>
      <c r="S46" s="141"/>
      <c r="T46" s="141"/>
      <c r="U46" s="135">
        <v>0</v>
      </c>
      <c r="V46" s="135"/>
      <c r="W46" s="76"/>
      <c r="X46" s="135">
        <v>1.5</v>
      </c>
      <c r="Y46" s="141"/>
      <c r="Z46" s="141"/>
      <c r="AA46" s="135">
        <v>0</v>
      </c>
      <c r="AB46" s="135"/>
      <c r="AC46" s="76"/>
      <c r="AD46" s="166">
        <v>1</v>
      </c>
      <c r="AE46" s="135"/>
      <c r="AF46" s="135"/>
      <c r="AG46" s="135">
        <v>0</v>
      </c>
      <c r="AH46" s="135"/>
      <c r="AI46" s="76"/>
      <c r="AJ46" s="135">
        <v>0</v>
      </c>
      <c r="AK46" s="141"/>
      <c r="AL46" s="141"/>
      <c r="AM46" s="135">
        <v>0</v>
      </c>
      <c r="AN46" s="135"/>
      <c r="AO46" s="76"/>
      <c r="AP46" s="135">
        <v>0</v>
      </c>
      <c r="AQ46" s="141"/>
      <c r="AR46" s="141"/>
      <c r="AS46" s="135">
        <v>0</v>
      </c>
      <c r="AT46" s="141"/>
      <c r="AU46" s="141"/>
      <c r="AV46" s="135">
        <v>0</v>
      </c>
      <c r="AW46" s="135"/>
      <c r="AX46" s="76"/>
      <c r="AY46" s="135">
        <v>0</v>
      </c>
      <c r="AZ46" s="135"/>
      <c r="BA46" s="135"/>
      <c r="BB46" s="135">
        <v>0</v>
      </c>
      <c r="BC46" s="135"/>
      <c r="BD46" s="76"/>
      <c r="BE46" s="135">
        <v>0</v>
      </c>
      <c r="BF46" s="141"/>
      <c r="BG46" s="141"/>
      <c r="BH46" s="135">
        <v>0</v>
      </c>
      <c r="BI46" s="135"/>
      <c r="BJ46" s="135"/>
      <c r="BK46" s="135">
        <v>0</v>
      </c>
      <c r="BL46" s="141"/>
      <c r="BM46" s="141"/>
      <c r="BN46" s="135">
        <v>0</v>
      </c>
      <c r="BO46" s="141"/>
      <c r="BP46" s="141"/>
      <c r="BQ46" s="135">
        <v>0</v>
      </c>
      <c r="BR46" s="141"/>
      <c r="BS46" s="141"/>
      <c r="BT46" s="135">
        <v>0</v>
      </c>
      <c r="BU46" s="141"/>
      <c r="BV46" s="141"/>
      <c r="BW46" s="135">
        <v>0</v>
      </c>
      <c r="BX46" s="135"/>
      <c r="BY46" s="76"/>
      <c r="BZ46" s="135">
        <v>0</v>
      </c>
      <c r="CA46" s="135"/>
      <c r="CB46" s="76"/>
      <c r="CC46" s="135">
        <v>0</v>
      </c>
      <c r="CD46" s="141"/>
      <c r="CE46" s="141"/>
      <c r="CF46" s="135">
        <v>0</v>
      </c>
      <c r="CG46" s="135"/>
      <c r="CH46" s="76"/>
      <c r="CI46" s="135">
        <v>0</v>
      </c>
      <c r="CJ46" s="141"/>
      <c r="CK46" s="141"/>
      <c r="CL46" s="135">
        <v>0</v>
      </c>
      <c r="CM46" s="141"/>
      <c r="CN46" s="141"/>
      <c r="CO46" s="135">
        <v>0</v>
      </c>
      <c r="CP46" s="141"/>
      <c r="CQ46" s="141"/>
      <c r="CR46" s="135">
        <v>0</v>
      </c>
      <c r="CS46" s="141"/>
      <c r="CT46" s="141"/>
      <c r="CU46" s="135">
        <v>0</v>
      </c>
      <c r="CV46" s="141"/>
      <c r="CW46" s="141"/>
      <c r="CX46" s="135">
        <v>0</v>
      </c>
      <c r="CY46" s="141"/>
      <c r="CZ46" s="141"/>
    </row>
    <row r="47" spans="1:104">
      <c r="A47" s="133" t="s">
        <v>1501</v>
      </c>
      <c r="B47" s="165">
        <v>2</v>
      </c>
      <c r="C47" s="135">
        <v>2</v>
      </c>
      <c r="D47" s="136" t="s">
        <v>1502</v>
      </c>
      <c r="E47" s="135" t="s">
        <v>808</v>
      </c>
      <c r="F47" s="135">
        <v>0</v>
      </c>
      <c r="G47" s="141" t="s">
        <v>869</v>
      </c>
      <c r="H47" s="141" t="s">
        <v>869</v>
      </c>
      <c r="I47" s="135">
        <v>0</v>
      </c>
      <c r="J47" s="141" t="s">
        <v>869</v>
      </c>
      <c r="K47" s="141" t="s">
        <v>869</v>
      </c>
      <c r="L47" s="135">
        <v>0</v>
      </c>
      <c r="M47" s="141" t="s">
        <v>869</v>
      </c>
      <c r="N47" s="141" t="s">
        <v>869</v>
      </c>
      <c r="O47" s="135">
        <v>2</v>
      </c>
      <c r="P47" s="136" t="s">
        <v>1445</v>
      </c>
      <c r="Q47" s="135" t="s">
        <v>816</v>
      </c>
      <c r="R47" s="135">
        <v>2</v>
      </c>
      <c r="S47" s="159" t="s">
        <v>1503</v>
      </c>
      <c r="T47" s="135" t="s">
        <v>1504</v>
      </c>
      <c r="U47" s="135">
        <v>1</v>
      </c>
      <c r="V47" s="136" t="s">
        <v>1448</v>
      </c>
      <c r="W47" s="135" t="s">
        <v>820</v>
      </c>
      <c r="X47" s="135">
        <v>0</v>
      </c>
      <c r="Y47" s="141" t="s">
        <v>869</v>
      </c>
      <c r="Z47" s="141" t="s">
        <v>869</v>
      </c>
      <c r="AA47" s="135">
        <v>0</v>
      </c>
      <c r="AB47" s="141" t="s">
        <v>869</v>
      </c>
      <c r="AC47" s="141" t="s">
        <v>869</v>
      </c>
      <c r="AD47" s="135">
        <v>0</v>
      </c>
      <c r="AE47" s="141" t="s">
        <v>869</v>
      </c>
      <c r="AF47" s="141" t="s">
        <v>869</v>
      </c>
      <c r="AG47" s="135">
        <v>0</v>
      </c>
      <c r="AH47" s="141" t="s">
        <v>869</v>
      </c>
      <c r="AI47" s="141" t="s">
        <v>869</v>
      </c>
      <c r="AJ47" s="135">
        <v>0</v>
      </c>
      <c r="AK47" s="141" t="s">
        <v>869</v>
      </c>
      <c r="AL47" s="141" t="s">
        <v>869</v>
      </c>
      <c r="AM47" s="135">
        <v>1</v>
      </c>
      <c r="AN47" s="135"/>
      <c r="AO47" s="137" t="s">
        <v>1505</v>
      </c>
      <c r="AP47" s="135">
        <v>0</v>
      </c>
      <c r="AQ47" s="141" t="s">
        <v>869</v>
      </c>
      <c r="AR47" s="141" t="s">
        <v>869</v>
      </c>
      <c r="AS47" s="135">
        <v>0</v>
      </c>
      <c r="AT47" s="141" t="s">
        <v>869</v>
      </c>
      <c r="AU47" s="141" t="s">
        <v>869</v>
      </c>
      <c r="AV47" s="135">
        <v>0</v>
      </c>
      <c r="AW47" s="141" t="s">
        <v>869</v>
      </c>
      <c r="AX47" s="141" t="s">
        <v>869</v>
      </c>
      <c r="AY47" s="135">
        <v>0</v>
      </c>
      <c r="AZ47" s="141" t="s">
        <v>869</v>
      </c>
      <c r="BA47" s="141" t="s">
        <v>869</v>
      </c>
      <c r="BB47" s="135">
        <v>0</v>
      </c>
      <c r="BC47" s="141" t="s">
        <v>869</v>
      </c>
      <c r="BD47" s="141" t="s">
        <v>869</v>
      </c>
      <c r="BE47" s="135">
        <v>0</v>
      </c>
      <c r="BF47" s="141" t="s">
        <v>869</v>
      </c>
      <c r="BG47" s="141" t="s">
        <v>869</v>
      </c>
      <c r="BH47" s="135">
        <v>0</v>
      </c>
      <c r="BI47" s="141" t="s">
        <v>869</v>
      </c>
      <c r="BJ47" s="141" t="s">
        <v>869</v>
      </c>
      <c r="BK47" s="135">
        <v>0</v>
      </c>
      <c r="BL47" s="141" t="s">
        <v>869</v>
      </c>
      <c r="BM47" s="141" t="s">
        <v>869</v>
      </c>
      <c r="BN47" s="135">
        <v>0</v>
      </c>
      <c r="BO47" s="141" t="s">
        <v>869</v>
      </c>
      <c r="BP47" s="141" t="s">
        <v>869</v>
      </c>
      <c r="BQ47" s="135">
        <v>0</v>
      </c>
      <c r="BR47" s="141" t="s">
        <v>869</v>
      </c>
      <c r="BS47" s="141" t="s">
        <v>869</v>
      </c>
      <c r="BT47" s="135">
        <v>0</v>
      </c>
      <c r="BU47" s="141" t="s">
        <v>869</v>
      </c>
      <c r="BV47" s="141" t="s">
        <v>869</v>
      </c>
      <c r="BW47" s="135">
        <v>0</v>
      </c>
      <c r="BX47" s="141" t="s">
        <v>869</v>
      </c>
      <c r="BY47" s="141" t="s">
        <v>869</v>
      </c>
      <c r="BZ47" s="135">
        <v>0</v>
      </c>
      <c r="CA47" s="141" t="s">
        <v>869</v>
      </c>
      <c r="CB47" s="141" t="s">
        <v>869</v>
      </c>
      <c r="CC47" s="135">
        <v>0</v>
      </c>
      <c r="CD47" s="141" t="s">
        <v>869</v>
      </c>
      <c r="CE47" s="141" t="s">
        <v>869</v>
      </c>
      <c r="CF47" s="135">
        <v>0</v>
      </c>
      <c r="CG47" s="141" t="s">
        <v>869</v>
      </c>
      <c r="CH47" s="141" t="s">
        <v>869</v>
      </c>
      <c r="CI47" s="135">
        <v>0</v>
      </c>
      <c r="CJ47" s="141" t="s">
        <v>869</v>
      </c>
      <c r="CK47" s="141" t="s">
        <v>869</v>
      </c>
      <c r="CL47" s="135">
        <v>0</v>
      </c>
      <c r="CM47" s="141" t="s">
        <v>869</v>
      </c>
      <c r="CN47" s="141" t="s">
        <v>869</v>
      </c>
      <c r="CO47" s="135">
        <v>0</v>
      </c>
      <c r="CP47" s="141" t="s">
        <v>869</v>
      </c>
      <c r="CQ47" s="141" t="s">
        <v>869</v>
      </c>
      <c r="CR47" s="135">
        <v>0</v>
      </c>
      <c r="CS47" s="141" t="s">
        <v>869</v>
      </c>
      <c r="CT47" s="141" t="s">
        <v>869</v>
      </c>
      <c r="CU47" s="135">
        <v>0</v>
      </c>
      <c r="CV47" s="141" t="s">
        <v>869</v>
      </c>
      <c r="CW47" s="141" t="s">
        <v>869</v>
      </c>
      <c r="CX47" s="135">
        <v>0</v>
      </c>
      <c r="CY47" s="141" t="s">
        <v>869</v>
      </c>
      <c r="CZ47" s="141" t="s">
        <v>869</v>
      </c>
    </row>
    <row r="48" spans="1:104">
      <c r="A48" s="158" t="s">
        <v>1506</v>
      </c>
      <c r="B48" s="165">
        <f>SUM(B49:B52)</f>
        <v>9</v>
      </c>
      <c r="C48" s="165">
        <f t="shared" ref="C48:BN48" si="24">SUM(C49:C52)</f>
        <v>7</v>
      </c>
      <c r="D48" s="165">
        <f t="shared" si="24"/>
        <v>0</v>
      </c>
      <c r="E48" s="165">
        <f t="shared" si="24"/>
        <v>0</v>
      </c>
      <c r="F48" s="165">
        <f t="shared" si="24"/>
        <v>5</v>
      </c>
      <c r="G48" s="165">
        <f t="shared" si="24"/>
        <v>0</v>
      </c>
      <c r="H48" s="165">
        <f t="shared" si="24"/>
        <v>0</v>
      </c>
      <c r="I48" s="165">
        <f t="shared" si="24"/>
        <v>8</v>
      </c>
      <c r="J48" s="165">
        <f t="shared" si="24"/>
        <v>0</v>
      </c>
      <c r="K48" s="165">
        <f t="shared" si="24"/>
        <v>0</v>
      </c>
      <c r="L48" s="165">
        <f t="shared" si="24"/>
        <v>8</v>
      </c>
      <c r="M48" s="165">
        <f t="shared" si="24"/>
        <v>0</v>
      </c>
      <c r="N48" s="165">
        <f t="shared" si="24"/>
        <v>0</v>
      </c>
      <c r="O48" s="165">
        <f t="shared" si="24"/>
        <v>5.5</v>
      </c>
      <c r="P48" s="165">
        <f t="shared" si="24"/>
        <v>0</v>
      </c>
      <c r="Q48" s="165">
        <f t="shared" si="24"/>
        <v>0</v>
      </c>
      <c r="R48" s="165">
        <f t="shared" si="24"/>
        <v>6</v>
      </c>
      <c r="S48" s="165">
        <f t="shared" si="24"/>
        <v>0</v>
      </c>
      <c r="T48" s="165">
        <f t="shared" si="24"/>
        <v>0</v>
      </c>
      <c r="U48" s="165">
        <f t="shared" si="24"/>
        <v>6</v>
      </c>
      <c r="V48" s="165">
        <f t="shared" si="24"/>
        <v>0</v>
      </c>
      <c r="W48" s="165">
        <f t="shared" si="24"/>
        <v>0</v>
      </c>
      <c r="X48" s="165">
        <f t="shared" si="24"/>
        <v>3.5</v>
      </c>
      <c r="Y48" s="165">
        <f t="shared" si="24"/>
        <v>0</v>
      </c>
      <c r="Z48" s="165">
        <f t="shared" si="24"/>
        <v>0</v>
      </c>
      <c r="AA48" s="165">
        <f t="shared" si="24"/>
        <v>4</v>
      </c>
      <c r="AB48" s="165">
        <f t="shared" si="24"/>
        <v>0</v>
      </c>
      <c r="AC48" s="165">
        <f t="shared" si="24"/>
        <v>0</v>
      </c>
      <c r="AD48" s="165">
        <f t="shared" si="24"/>
        <v>3</v>
      </c>
      <c r="AE48" s="165">
        <f t="shared" si="24"/>
        <v>0</v>
      </c>
      <c r="AF48" s="165">
        <f t="shared" si="24"/>
        <v>0</v>
      </c>
      <c r="AG48" s="165">
        <f t="shared" si="24"/>
        <v>3.5</v>
      </c>
      <c r="AH48" s="165">
        <f t="shared" si="24"/>
        <v>0</v>
      </c>
      <c r="AI48" s="165">
        <f t="shared" si="24"/>
        <v>0</v>
      </c>
      <c r="AJ48" s="165">
        <f t="shared" si="24"/>
        <v>4</v>
      </c>
      <c r="AK48" s="165">
        <f t="shared" si="24"/>
        <v>0</v>
      </c>
      <c r="AL48" s="165">
        <f t="shared" si="24"/>
        <v>0</v>
      </c>
      <c r="AM48" s="165">
        <f t="shared" si="24"/>
        <v>4</v>
      </c>
      <c r="AN48" s="165">
        <f t="shared" si="24"/>
        <v>0</v>
      </c>
      <c r="AO48" s="165">
        <f t="shared" si="24"/>
        <v>0</v>
      </c>
      <c r="AP48" s="165">
        <f t="shared" si="24"/>
        <v>3</v>
      </c>
      <c r="AQ48" s="165">
        <f t="shared" si="24"/>
        <v>0</v>
      </c>
      <c r="AR48" s="165">
        <f t="shared" si="24"/>
        <v>0</v>
      </c>
      <c r="AS48" s="165">
        <f t="shared" si="24"/>
        <v>3.5</v>
      </c>
      <c r="AT48" s="165">
        <f t="shared" si="24"/>
        <v>0</v>
      </c>
      <c r="AU48" s="165">
        <f t="shared" si="24"/>
        <v>0</v>
      </c>
      <c r="AV48" s="165">
        <f t="shared" si="24"/>
        <v>2.5</v>
      </c>
      <c r="AW48" s="165">
        <f t="shared" si="24"/>
        <v>0</v>
      </c>
      <c r="AX48" s="165">
        <f t="shared" si="24"/>
        <v>0</v>
      </c>
      <c r="AY48" s="165">
        <f t="shared" si="24"/>
        <v>1</v>
      </c>
      <c r="AZ48" s="165">
        <f t="shared" si="24"/>
        <v>0</v>
      </c>
      <c r="BA48" s="165">
        <f t="shared" si="24"/>
        <v>0</v>
      </c>
      <c r="BB48" s="165">
        <f t="shared" si="24"/>
        <v>3.5</v>
      </c>
      <c r="BC48" s="165">
        <f t="shared" si="24"/>
        <v>0</v>
      </c>
      <c r="BD48" s="165">
        <f t="shared" si="24"/>
        <v>0</v>
      </c>
      <c r="BE48" s="165">
        <f t="shared" si="24"/>
        <v>2.5</v>
      </c>
      <c r="BF48" s="165">
        <f t="shared" si="24"/>
        <v>0</v>
      </c>
      <c r="BG48" s="165">
        <f t="shared" si="24"/>
        <v>0</v>
      </c>
      <c r="BH48" s="165">
        <f t="shared" si="24"/>
        <v>3.5</v>
      </c>
      <c r="BI48" s="165">
        <f t="shared" si="24"/>
        <v>0</v>
      </c>
      <c r="BJ48" s="165">
        <f t="shared" si="24"/>
        <v>0</v>
      </c>
      <c r="BK48" s="165">
        <f t="shared" si="24"/>
        <v>4</v>
      </c>
      <c r="BL48" s="165">
        <f t="shared" si="24"/>
        <v>0</v>
      </c>
      <c r="BM48" s="165">
        <f t="shared" si="24"/>
        <v>0</v>
      </c>
      <c r="BN48" s="165">
        <f t="shared" si="24"/>
        <v>4</v>
      </c>
      <c r="BO48" s="165">
        <f t="shared" ref="BO48:CX48" si="25">SUM(BO49:BO52)</f>
        <v>0</v>
      </c>
      <c r="BP48" s="165">
        <f t="shared" si="25"/>
        <v>0</v>
      </c>
      <c r="BQ48" s="165">
        <f t="shared" si="25"/>
        <v>2</v>
      </c>
      <c r="BR48" s="165">
        <f t="shared" si="25"/>
        <v>0</v>
      </c>
      <c r="BS48" s="165">
        <f t="shared" si="25"/>
        <v>0</v>
      </c>
      <c r="BT48" s="165">
        <f t="shared" si="25"/>
        <v>3.5</v>
      </c>
      <c r="BU48" s="165">
        <f t="shared" si="25"/>
        <v>0</v>
      </c>
      <c r="BV48" s="165">
        <f t="shared" si="25"/>
        <v>0</v>
      </c>
      <c r="BW48" s="165">
        <f t="shared" si="25"/>
        <v>3</v>
      </c>
      <c r="BX48" s="165">
        <f t="shared" si="25"/>
        <v>0</v>
      </c>
      <c r="BY48" s="165">
        <f t="shared" si="25"/>
        <v>0</v>
      </c>
      <c r="BZ48" s="165">
        <f t="shared" si="25"/>
        <v>0.5</v>
      </c>
      <c r="CA48" s="165">
        <f t="shared" si="25"/>
        <v>0</v>
      </c>
      <c r="CB48" s="165">
        <f t="shared" si="25"/>
        <v>0</v>
      </c>
      <c r="CC48" s="165">
        <f t="shared" si="25"/>
        <v>2.5</v>
      </c>
      <c r="CD48" s="165">
        <f t="shared" si="25"/>
        <v>0</v>
      </c>
      <c r="CE48" s="165">
        <f t="shared" si="25"/>
        <v>0</v>
      </c>
      <c r="CF48" s="165">
        <f t="shared" si="25"/>
        <v>2.5</v>
      </c>
      <c r="CG48" s="165">
        <f t="shared" si="25"/>
        <v>0</v>
      </c>
      <c r="CH48" s="165">
        <f t="shared" si="25"/>
        <v>0</v>
      </c>
      <c r="CI48" s="165">
        <f t="shared" si="25"/>
        <v>0.5</v>
      </c>
      <c r="CJ48" s="165">
        <f t="shared" si="25"/>
        <v>0</v>
      </c>
      <c r="CK48" s="165">
        <f t="shared" si="25"/>
        <v>0</v>
      </c>
      <c r="CL48" s="165">
        <f t="shared" si="25"/>
        <v>2</v>
      </c>
      <c r="CM48" s="165">
        <f t="shared" si="25"/>
        <v>0</v>
      </c>
      <c r="CN48" s="165">
        <f t="shared" si="25"/>
        <v>0</v>
      </c>
      <c r="CO48" s="165">
        <f t="shared" si="25"/>
        <v>0.5</v>
      </c>
      <c r="CP48" s="165">
        <f t="shared" si="25"/>
        <v>0</v>
      </c>
      <c r="CQ48" s="165">
        <f t="shared" si="25"/>
        <v>0</v>
      </c>
      <c r="CR48" s="165">
        <f t="shared" si="25"/>
        <v>1</v>
      </c>
      <c r="CS48" s="165">
        <f t="shared" si="25"/>
        <v>0</v>
      </c>
      <c r="CT48" s="165">
        <f t="shared" si="25"/>
        <v>0</v>
      </c>
      <c r="CU48" s="165">
        <f t="shared" si="25"/>
        <v>2.5</v>
      </c>
      <c r="CV48" s="165">
        <f t="shared" si="25"/>
        <v>0</v>
      </c>
      <c r="CW48" s="165">
        <f t="shared" si="25"/>
        <v>0</v>
      </c>
      <c r="CX48" s="165">
        <f t="shared" si="25"/>
        <v>0.5</v>
      </c>
      <c r="CY48" s="141"/>
      <c r="CZ48" s="141"/>
    </row>
    <row r="49" spans="1:104">
      <c r="A49" s="133" t="s">
        <v>1507</v>
      </c>
      <c r="B49" s="165">
        <v>3</v>
      </c>
      <c r="C49" s="135">
        <v>1</v>
      </c>
      <c r="D49" s="174" t="s">
        <v>1508</v>
      </c>
      <c r="E49" s="137" t="s">
        <v>1509</v>
      </c>
      <c r="F49" s="135">
        <v>2.5</v>
      </c>
      <c r="G49" s="174" t="s">
        <v>1510</v>
      </c>
      <c r="H49" s="135" t="s">
        <v>810</v>
      </c>
      <c r="I49" s="135">
        <v>3</v>
      </c>
      <c r="J49" s="174" t="s">
        <v>1511</v>
      </c>
      <c r="K49" s="140" t="s">
        <v>1512</v>
      </c>
      <c r="L49" s="135">
        <v>3</v>
      </c>
      <c r="M49" s="136" t="s">
        <v>1513</v>
      </c>
      <c r="N49" s="154" t="s">
        <v>1514</v>
      </c>
      <c r="O49" s="135">
        <v>3</v>
      </c>
      <c r="P49" s="136" t="s">
        <v>1515</v>
      </c>
      <c r="Q49" s="135" t="s">
        <v>816</v>
      </c>
      <c r="R49" s="135">
        <v>1</v>
      </c>
      <c r="S49" s="174" t="s">
        <v>1516</v>
      </c>
      <c r="T49" s="137" t="s">
        <v>1517</v>
      </c>
      <c r="U49" s="135">
        <v>2</v>
      </c>
      <c r="V49" s="174" t="s">
        <v>1116</v>
      </c>
      <c r="W49" s="136" t="s">
        <v>1117</v>
      </c>
      <c r="X49" s="135">
        <v>1</v>
      </c>
      <c r="Y49" s="174" t="s">
        <v>1516</v>
      </c>
      <c r="Z49" s="140" t="s">
        <v>726</v>
      </c>
      <c r="AA49" s="135">
        <v>1</v>
      </c>
      <c r="AB49" s="174" t="s">
        <v>1118</v>
      </c>
      <c r="AC49" s="140" t="s">
        <v>728</v>
      </c>
      <c r="AD49" s="135">
        <v>0.5</v>
      </c>
      <c r="AE49" s="175" t="s">
        <v>1119</v>
      </c>
      <c r="AF49" s="135"/>
      <c r="AG49" s="135">
        <v>1</v>
      </c>
      <c r="AH49" s="174" t="s">
        <v>1120</v>
      </c>
      <c r="AI49" s="137" t="s">
        <v>1121</v>
      </c>
      <c r="AJ49" s="135">
        <v>0</v>
      </c>
      <c r="AK49" s="141" t="s">
        <v>869</v>
      </c>
      <c r="AL49" s="141" t="s">
        <v>869</v>
      </c>
      <c r="AM49" s="135">
        <v>1.5</v>
      </c>
      <c r="AN49" s="174" t="s">
        <v>1122</v>
      </c>
      <c r="AO49" s="135" t="s">
        <v>832</v>
      </c>
      <c r="AP49" s="135">
        <v>1</v>
      </c>
      <c r="AQ49" s="174" t="s">
        <v>1123</v>
      </c>
      <c r="AR49" s="140" t="s">
        <v>1124</v>
      </c>
      <c r="AS49" s="135">
        <v>1</v>
      </c>
      <c r="AT49" s="174" t="s">
        <v>1125</v>
      </c>
      <c r="AU49" s="154" t="s">
        <v>1126</v>
      </c>
      <c r="AV49" s="135">
        <v>0</v>
      </c>
      <c r="AW49" s="141" t="s">
        <v>869</v>
      </c>
      <c r="AX49" s="141" t="s">
        <v>869</v>
      </c>
      <c r="AY49" s="135">
        <v>0.5</v>
      </c>
      <c r="AZ49" s="176" t="s">
        <v>1127</v>
      </c>
      <c r="BA49" s="177" t="s">
        <v>1128</v>
      </c>
      <c r="BB49" s="135">
        <v>1</v>
      </c>
      <c r="BC49" s="174" t="s">
        <v>1129</v>
      </c>
      <c r="BD49" s="135"/>
      <c r="BE49" s="135">
        <v>1.5</v>
      </c>
      <c r="BF49" s="174" t="s">
        <v>1130</v>
      </c>
      <c r="BG49" s="140" t="s">
        <v>1131</v>
      </c>
      <c r="BH49" s="135">
        <v>1</v>
      </c>
      <c r="BI49" s="174" t="s">
        <v>1123</v>
      </c>
      <c r="BJ49" s="135" t="s">
        <v>845</v>
      </c>
      <c r="BK49" s="135">
        <v>1.5</v>
      </c>
      <c r="BL49" s="174" t="s">
        <v>1132</v>
      </c>
      <c r="BM49" s="135"/>
      <c r="BN49" s="135">
        <v>0</v>
      </c>
      <c r="BO49" s="141" t="s">
        <v>869</v>
      </c>
      <c r="BP49" s="141" t="s">
        <v>869</v>
      </c>
      <c r="BQ49" s="135">
        <v>1.5</v>
      </c>
      <c r="BR49" s="174" t="s">
        <v>1133</v>
      </c>
      <c r="BS49" s="140" t="s">
        <v>1134</v>
      </c>
      <c r="BT49" s="135">
        <v>1</v>
      </c>
      <c r="BU49" s="174" t="s">
        <v>1135</v>
      </c>
      <c r="BV49" s="135" t="s">
        <v>852</v>
      </c>
      <c r="BW49" s="135">
        <v>0.5</v>
      </c>
      <c r="BX49" s="174" t="s">
        <v>1136</v>
      </c>
      <c r="BY49" s="135"/>
      <c r="BZ49" s="135">
        <v>0</v>
      </c>
      <c r="CA49" s="141" t="s">
        <v>869</v>
      </c>
      <c r="CB49" s="141" t="s">
        <v>869</v>
      </c>
      <c r="CC49" s="135">
        <v>0.5</v>
      </c>
      <c r="CD49" s="152" t="s">
        <v>1137</v>
      </c>
      <c r="CE49" s="135" t="s">
        <v>280</v>
      </c>
      <c r="CF49" s="135">
        <v>0</v>
      </c>
      <c r="CG49" s="141" t="s">
        <v>869</v>
      </c>
      <c r="CH49" s="141" t="s">
        <v>869</v>
      </c>
      <c r="CI49" s="135">
        <v>0.5</v>
      </c>
      <c r="CJ49" s="174" t="s">
        <v>1138</v>
      </c>
      <c r="CK49" s="135"/>
      <c r="CL49" s="135">
        <v>1.5</v>
      </c>
      <c r="CM49" s="174" t="s">
        <v>1139</v>
      </c>
      <c r="CN49" s="135"/>
      <c r="CO49" s="135">
        <v>0</v>
      </c>
      <c r="CP49" s="141" t="s">
        <v>869</v>
      </c>
      <c r="CQ49" s="141" t="s">
        <v>869</v>
      </c>
      <c r="CR49" s="135">
        <v>1</v>
      </c>
      <c r="CS49" s="174" t="s">
        <v>1140</v>
      </c>
      <c r="CT49" s="135" t="s">
        <v>868</v>
      </c>
      <c r="CU49" s="135">
        <v>0.5</v>
      </c>
      <c r="CV49" s="174" t="s">
        <v>1141</v>
      </c>
      <c r="CW49" s="135"/>
      <c r="CX49" s="135">
        <v>0</v>
      </c>
      <c r="CY49" s="141" t="s">
        <v>869</v>
      </c>
      <c r="CZ49" s="141" t="s">
        <v>869</v>
      </c>
    </row>
    <row r="50" spans="1:104">
      <c r="A50" s="133" t="s">
        <v>1142</v>
      </c>
      <c r="B50" s="131">
        <v>2</v>
      </c>
      <c r="C50" s="135">
        <v>2</v>
      </c>
      <c r="D50" s="136" t="s">
        <v>1143</v>
      </c>
      <c r="E50" s="135" t="s">
        <v>808</v>
      </c>
      <c r="F50" s="135">
        <v>2</v>
      </c>
      <c r="G50" s="135" t="s">
        <v>1144</v>
      </c>
      <c r="H50" s="137" t="s">
        <v>1145</v>
      </c>
      <c r="I50" s="135">
        <v>2</v>
      </c>
      <c r="J50" s="136" t="s">
        <v>1146</v>
      </c>
      <c r="K50" s="137" t="s">
        <v>1147</v>
      </c>
      <c r="L50" s="135">
        <v>2</v>
      </c>
      <c r="M50" s="135" t="s">
        <v>1148</v>
      </c>
      <c r="N50" s="178" t="s">
        <v>1149</v>
      </c>
      <c r="O50" s="135">
        <v>2</v>
      </c>
      <c r="P50" s="136" t="s">
        <v>1150</v>
      </c>
      <c r="Q50" s="137" t="s">
        <v>1149</v>
      </c>
      <c r="R50" s="135">
        <v>2</v>
      </c>
      <c r="S50" s="135" t="s">
        <v>884</v>
      </c>
      <c r="T50" s="137" t="s">
        <v>1149</v>
      </c>
      <c r="U50" s="135">
        <v>2</v>
      </c>
      <c r="V50" s="135" t="s">
        <v>1151</v>
      </c>
      <c r="W50" s="137" t="s">
        <v>1152</v>
      </c>
      <c r="X50" s="135">
        <v>2</v>
      </c>
      <c r="Y50" s="135" t="s">
        <v>1153</v>
      </c>
      <c r="Z50" s="137" t="s">
        <v>1149</v>
      </c>
      <c r="AA50" s="135">
        <v>2</v>
      </c>
      <c r="AB50" s="135" t="s">
        <v>1154</v>
      </c>
      <c r="AC50" s="137" t="s">
        <v>1155</v>
      </c>
      <c r="AD50" s="135">
        <v>2</v>
      </c>
      <c r="AE50" s="135" t="s">
        <v>884</v>
      </c>
      <c r="AF50" s="137" t="s">
        <v>1156</v>
      </c>
      <c r="AG50" s="135">
        <v>2</v>
      </c>
      <c r="AH50" s="136" t="s">
        <v>1157</v>
      </c>
      <c r="AI50" s="137" t="s">
        <v>1158</v>
      </c>
      <c r="AJ50" s="135">
        <v>2</v>
      </c>
      <c r="AK50" s="135" t="s">
        <v>1159</v>
      </c>
      <c r="AL50" s="137" t="s">
        <v>1160</v>
      </c>
      <c r="AM50" s="135">
        <v>2</v>
      </c>
      <c r="AN50" s="135" t="s">
        <v>1161</v>
      </c>
      <c r="AO50" s="137" t="s">
        <v>1149</v>
      </c>
      <c r="AP50" s="135">
        <v>0</v>
      </c>
      <c r="AQ50" s="141" t="s">
        <v>869</v>
      </c>
      <c r="AR50" s="141" t="s">
        <v>869</v>
      </c>
      <c r="AS50" s="135">
        <v>2</v>
      </c>
      <c r="AT50" s="135" t="s">
        <v>1060</v>
      </c>
      <c r="AU50" s="137" t="s">
        <v>1162</v>
      </c>
      <c r="AV50" s="135">
        <v>2</v>
      </c>
      <c r="AW50" s="135" t="s">
        <v>1163</v>
      </c>
      <c r="AX50" s="137" t="s">
        <v>1149</v>
      </c>
      <c r="AY50" s="135">
        <v>0</v>
      </c>
      <c r="AZ50" s="141" t="s">
        <v>869</v>
      </c>
      <c r="BA50" s="141" t="s">
        <v>869</v>
      </c>
      <c r="BB50" s="135">
        <v>2</v>
      </c>
      <c r="BC50" s="135" t="s">
        <v>1164</v>
      </c>
      <c r="BD50" s="137" t="s">
        <v>1165</v>
      </c>
      <c r="BE50" s="135">
        <v>0</v>
      </c>
      <c r="BF50" s="141" t="s">
        <v>869</v>
      </c>
      <c r="BG50" s="141" t="s">
        <v>869</v>
      </c>
      <c r="BH50" s="135">
        <v>2</v>
      </c>
      <c r="BI50" s="135" t="s">
        <v>884</v>
      </c>
      <c r="BJ50" s="178" t="s">
        <v>1166</v>
      </c>
      <c r="BK50" s="135">
        <v>2</v>
      </c>
      <c r="BL50" s="135" t="s">
        <v>884</v>
      </c>
      <c r="BM50" s="137" t="s">
        <v>1147</v>
      </c>
      <c r="BN50" s="135">
        <v>2</v>
      </c>
      <c r="BO50" s="135" t="s">
        <v>1167</v>
      </c>
      <c r="BP50" s="137" t="s">
        <v>1147</v>
      </c>
      <c r="BQ50" s="135">
        <v>0</v>
      </c>
      <c r="BR50" s="141" t="s">
        <v>869</v>
      </c>
      <c r="BS50" s="141" t="s">
        <v>869</v>
      </c>
      <c r="BT50" s="135">
        <v>2</v>
      </c>
      <c r="BU50" s="135" t="s">
        <v>1168</v>
      </c>
      <c r="BV50" s="137" t="s">
        <v>1149</v>
      </c>
      <c r="BW50" s="135">
        <v>2</v>
      </c>
      <c r="BX50" s="135" t="s">
        <v>884</v>
      </c>
      <c r="BY50" s="137" t="s">
        <v>1156</v>
      </c>
      <c r="BZ50" s="135">
        <v>0</v>
      </c>
      <c r="CA50" s="141" t="s">
        <v>869</v>
      </c>
      <c r="CB50" s="141" t="s">
        <v>869</v>
      </c>
      <c r="CC50" s="135">
        <v>0</v>
      </c>
      <c r="CD50" s="141" t="s">
        <v>869</v>
      </c>
      <c r="CE50" s="141" t="s">
        <v>869</v>
      </c>
      <c r="CF50" s="135">
        <v>2</v>
      </c>
      <c r="CG50" s="135" t="s">
        <v>1167</v>
      </c>
      <c r="CH50" s="137" t="s">
        <v>1149</v>
      </c>
      <c r="CI50" s="135">
        <v>0</v>
      </c>
      <c r="CJ50" s="141" t="s">
        <v>869</v>
      </c>
      <c r="CK50" s="141" t="s">
        <v>869</v>
      </c>
      <c r="CL50" s="135">
        <v>0</v>
      </c>
      <c r="CM50" s="141" t="s">
        <v>869</v>
      </c>
      <c r="CN50" s="141" t="s">
        <v>869</v>
      </c>
      <c r="CO50" s="135">
        <v>0</v>
      </c>
      <c r="CP50" s="141" t="s">
        <v>869</v>
      </c>
      <c r="CQ50" s="141" t="s">
        <v>869</v>
      </c>
      <c r="CR50" s="135">
        <v>0</v>
      </c>
      <c r="CS50" s="141" t="s">
        <v>869</v>
      </c>
      <c r="CT50" s="141" t="s">
        <v>869</v>
      </c>
      <c r="CU50" s="135">
        <v>2</v>
      </c>
      <c r="CV50" s="135" t="s">
        <v>1169</v>
      </c>
      <c r="CW50" s="137" t="s">
        <v>1170</v>
      </c>
      <c r="CX50" s="135">
        <v>0</v>
      </c>
      <c r="CY50" s="141" t="s">
        <v>869</v>
      </c>
      <c r="CZ50" s="141" t="s">
        <v>869</v>
      </c>
    </row>
    <row r="51" spans="1:104">
      <c r="A51" s="133" t="s">
        <v>1171</v>
      </c>
      <c r="B51" s="165">
        <v>2</v>
      </c>
      <c r="C51" s="135">
        <v>2</v>
      </c>
      <c r="D51" s="136" t="s">
        <v>1172</v>
      </c>
      <c r="E51" s="137" t="s">
        <v>1173</v>
      </c>
      <c r="F51" s="135">
        <v>0.5</v>
      </c>
      <c r="G51" s="136" t="s">
        <v>1110</v>
      </c>
      <c r="H51" s="137" t="s">
        <v>1111</v>
      </c>
      <c r="I51" s="135">
        <v>2</v>
      </c>
      <c r="J51" s="136" t="s">
        <v>1174</v>
      </c>
      <c r="K51" s="137" t="s">
        <v>1512</v>
      </c>
      <c r="L51" s="135">
        <v>2</v>
      </c>
      <c r="M51" s="179" t="s">
        <v>1175</v>
      </c>
      <c r="N51" s="154" t="s">
        <v>1514</v>
      </c>
      <c r="O51" s="135">
        <v>0.5</v>
      </c>
      <c r="P51" s="136" t="s">
        <v>720</v>
      </c>
      <c r="Q51" s="135" t="s">
        <v>721</v>
      </c>
      <c r="R51" s="135">
        <v>2</v>
      </c>
      <c r="S51" s="136" t="s">
        <v>1176</v>
      </c>
      <c r="T51" s="137" t="s">
        <v>1517</v>
      </c>
      <c r="U51" s="135">
        <v>2</v>
      </c>
      <c r="V51" s="136" t="s">
        <v>1177</v>
      </c>
      <c r="W51" s="136" t="s">
        <v>1117</v>
      </c>
      <c r="X51" s="135">
        <v>0.5</v>
      </c>
      <c r="Y51" s="136" t="s">
        <v>725</v>
      </c>
      <c r="Z51" s="137" t="s">
        <v>726</v>
      </c>
      <c r="AA51" s="135">
        <v>1</v>
      </c>
      <c r="AB51" s="136" t="s">
        <v>1178</v>
      </c>
      <c r="AC51" s="137" t="s">
        <v>728</v>
      </c>
      <c r="AD51" s="135">
        <v>0.5</v>
      </c>
      <c r="AE51" s="136" t="s">
        <v>729</v>
      </c>
      <c r="AF51" s="137" t="s">
        <v>285</v>
      </c>
      <c r="AG51" s="135">
        <v>0.5</v>
      </c>
      <c r="AH51" s="136" t="s">
        <v>1179</v>
      </c>
      <c r="AI51" s="137" t="s">
        <v>1121</v>
      </c>
      <c r="AJ51" s="135">
        <v>2</v>
      </c>
      <c r="AK51" s="136" t="s">
        <v>1180</v>
      </c>
      <c r="AL51" s="137" t="s">
        <v>1181</v>
      </c>
      <c r="AM51" s="135">
        <v>0.5</v>
      </c>
      <c r="AN51" s="136" t="s">
        <v>1182</v>
      </c>
      <c r="AO51" s="137" t="s">
        <v>733</v>
      </c>
      <c r="AP51" s="135">
        <v>2</v>
      </c>
      <c r="AQ51" s="136" t="s">
        <v>1183</v>
      </c>
      <c r="AR51" s="137" t="s">
        <v>1124</v>
      </c>
      <c r="AS51" s="135">
        <v>0.5</v>
      </c>
      <c r="AT51" s="173" t="s">
        <v>1184</v>
      </c>
      <c r="AU51" s="154" t="s">
        <v>1126</v>
      </c>
      <c r="AV51" s="135">
        <v>0.5</v>
      </c>
      <c r="AW51" s="136" t="s">
        <v>737</v>
      </c>
      <c r="AX51" s="137" t="s">
        <v>738</v>
      </c>
      <c r="AY51" s="135">
        <v>0.5</v>
      </c>
      <c r="AZ51" s="177" t="s">
        <v>1185</v>
      </c>
      <c r="BA51" s="177" t="s">
        <v>1128</v>
      </c>
      <c r="BB51" s="135">
        <v>0.5</v>
      </c>
      <c r="BC51" s="136" t="s">
        <v>740</v>
      </c>
      <c r="BD51" s="136" t="s">
        <v>721</v>
      </c>
      <c r="BE51" s="135">
        <v>1</v>
      </c>
      <c r="BF51" s="136" t="s">
        <v>1186</v>
      </c>
      <c r="BG51" s="140" t="s">
        <v>1131</v>
      </c>
      <c r="BH51" s="135">
        <v>0.5</v>
      </c>
      <c r="BI51" s="136" t="s">
        <v>743</v>
      </c>
      <c r="BJ51" s="138" t="s">
        <v>744</v>
      </c>
      <c r="BK51" s="135">
        <v>0.5</v>
      </c>
      <c r="BL51" s="136" t="s">
        <v>745</v>
      </c>
      <c r="BM51" s="138" t="s">
        <v>746</v>
      </c>
      <c r="BN51" s="135">
        <v>2</v>
      </c>
      <c r="BO51" s="136" t="s">
        <v>1187</v>
      </c>
      <c r="BP51" s="137" t="s">
        <v>1188</v>
      </c>
      <c r="BQ51" s="135">
        <v>0.5</v>
      </c>
      <c r="BR51" s="136" t="s">
        <v>748</v>
      </c>
      <c r="BS51" s="140" t="s">
        <v>1134</v>
      </c>
      <c r="BT51" s="135">
        <v>0.5</v>
      </c>
      <c r="BU51" s="136" t="s">
        <v>750</v>
      </c>
      <c r="BV51" s="138" t="s">
        <v>292</v>
      </c>
      <c r="BW51" s="135">
        <v>0.5</v>
      </c>
      <c r="BX51" s="136" t="s">
        <v>1189</v>
      </c>
      <c r="BY51" s="137" t="s">
        <v>921</v>
      </c>
      <c r="BZ51" s="135">
        <v>0.5</v>
      </c>
      <c r="CA51" s="136" t="s">
        <v>752</v>
      </c>
      <c r="CB51" s="137" t="s">
        <v>1103</v>
      </c>
      <c r="CC51" s="135">
        <v>2</v>
      </c>
      <c r="CD51" s="152" t="s">
        <v>1190</v>
      </c>
      <c r="CE51" s="135" t="s">
        <v>280</v>
      </c>
      <c r="CF51" s="135">
        <v>0.5</v>
      </c>
      <c r="CG51" s="136" t="s">
        <v>755</v>
      </c>
      <c r="CH51" s="137" t="s">
        <v>756</v>
      </c>
      <c r="CI51" s="135">
        <v>0</v>
      </c>
      <c r="CJ51" s="141" t="s">
        <v>869</v>
      </c>
      <c r="CK51" s="141" t="s">
        <v>869</v>
      </c>
      <c r="CL51" s="135">
        <v>0.5</v>
      </c>
      <c r="CM51" s="136" t="s">
        <v>757</v>
      </c>
      <c r="CN51" s="140" t="s">
        <v>758</v>
      </c>
      <c r="CO51" s="135">
        <v>0.5</v>
      </c>
      <c r="CP51" s="136" t="s">
        <v>1191</v>
      </c>
      <c r="CQ51" s="137" t="s">
        <v>1192</v>
      </c>
      <c r="CR51" s="135">
        <v>0</v>
      </c>
      <c r="CS51" s="141" t="s">
        <v>869</v>
      </c>
      <c r="CT51" s="141" t="s">
        <v>869</v>
      </c>
      <c r="CU51" s="135">
        <v>0</v>
      </c>
      <c r="CV51" s="141" t="s">
        <v>869</v>
      </c>
      <c r="CW51" s="141" t="s">
        <v>869</v>
      </c>
      <c r="CX51" s="135">
        <v>0.5</v>
      </c>
      <c r="CY51" s="136" t="s">
        <v>1193</v>
      </c>
      <c r="CZ51" s="137" t="s">
        <v>871</v>
      </c>
    </row>
    <row r="52" spans="1:104">
      <c r="A52" s="133" t="s">
        <v>1194</v>
      </c>
      <c r="B52" s="165">
        <v>2</v>
      </c>
      <c r="C52" s="135">
        <v>2</v>
      </c>
      <c r="D52" s="136" t="s">
        <v>1195</v>
      </c>
      <c r="E52" s="137" t="s">
        <v>1196</v>
      </c>
      <c r="F52" s="135">
        <v>0</v>
      </c>
      <c r="G52" s="141" t="s">
        <v>869</v>
      </c>
      <c r="H52" s="141" t="s">
        <v>869</v>
      </c>
      <c r="I52" s="135">
        <v>1</v>
      </c>
      <c r="J52" s="135" t="s">
        <v>884</v>
      </c>
      <c r="K52" s="135"/>
      <c r="L52" s="135">
        <v>1</v>
      </c>
      <c r="M52" s="136" t="s">
        <v>1197</v>
      </c>
      <c r="N52" s="135"/>
      <c r="O52" s="135">
        <v>0</v>
      </c>
      <c r="P52" s="141" t="s">
        <v>869</v>
      </c>
      <c r="Q52" s="141" t="s">
        <v>869</v>
      </c>
      <c r="R52" s="135">
        <v>1</v>
      </c>
      <c r="S52" s="135" t="s">
        <v>884</v>
      </c>
      <c r="T52" s="135"/>
      <c r="U52" s="135">
        <v>0</v>
      </c>
      <c r="V52" s="141" t="s">
        <v>869</v>
      </c>
      <c r="W52" s="141" t="s">
        <v>869</v>
      </c>
      <c r="X52" s="135">
        <v>0</v>
      </c>
      <c r="Y52" s="141" t="s">
        <v>869</v>
      </c>
      <c r="Z52" s="141" t="s">
        <v>869</v>
      </c>
      <c r="AA52" s="135">
        <v>0</v>
      </c>
      <c r="AB52" s="141" t="s">
        <v>869</v>
      </c>
      <c r="AC52" s="141" t="s">
        <v>869</v>
      </c>
      <c r="AD52" s="135">
        <v>0</v>
      </c>
      <c r="AE52" s="141" t="s">
        <v>869</v>
      </c>
      <c r="AF52" s="141" t="s">
        <v>869</v>
      </c>
      <c r="AG52" s="135">
        <v>0</v>
      </c>
      <c r="AH52" s="141" t="s">
        <v>869</v>
      </c>
      <c r="AI52" s="141" t="s">
        <v>869</v>
      </c>
      <c r="AJ52" s="135">
        <v>0</v>
      </c>
      <c r="AK52" s="141" t="s">
        <v>869</v>
      </c>
      <c r="AL52" s="141" t="s">
        <v>869</v>
      </c>
      <c r="AM52" s="135">
        <v>0</v>
      </c>
      <c r="AN52" s="141" t="s">
        <v>869</v>
      </c>
      <c r="AO52" s="141" t="s">
        <v>869</v>
      </c>
      <c r="AP52" s="135">
        <v>0</v>
      </c>
      <c r="AQ52" s="141" t="s">
        <v>869</v>
      </c>
      <c r="AR52" s="141" t="s">
        <v>869</v>
      </c>
      <c r="AS52" s="135">
        <v>0</v>
      </c>
      <c r="AT52" s="141" t="s">
        <v>869</v>
      </c>
      <c r="AU52" s="141" t="s">
        <v>869</v>
      </c>
      <c r="AV52" s="135">
        <v>0</v>
      </c>
      <c r="AW52" s="141" t="s">
        <v>869</v>
      </c>
      <c r="AX52" s="141" t="s">
        <v>869</v>
      </c>
      <c r="AY52" s="135">
        <v>0</v>
      </c>
      <c r="AZ52" s="141" t="s">
        <v>869</v>
      </c>
      <c r="BA52" s="141" t="s">
        <v>869</v>
      </c>
      <c r="BB52" s="135">
        <v>0</v>
      </c>
      <c r="BC52" s="141" t="s">
        <v>869</v>
      </c>
      <c r="BD52" s="141" t="s">
        <v>869</v>
      </c>
      <c r="BE52" s="135">
        <v>0</v>
      </c>
      <c r="BF52" s="141" t="s">
        <v>869</v>
      </c>
      <c r="BG52" s="141" t="s">
        <v>869</v>
      </c>
      <c r="BH52" s="135">
        <v>0</v>
      </c>
      <c r="BI52" s="141" t="s">
        <v>869</v>
      </c>
      <c r="BJ52" s="141" t="s">
        <v>869</v>
      </c>
      <c r="BK52" s="135">
        <v>0</v>
      </c>
      <c r="BL52" s="141" t="s">
        <v>869</v>
      </c>
      <c r="BM52" s="141" t="s">
        <v>869</v>
      </c>
      <c r="BN52" s="135">
        <v>0</v>
      </c>
      <c r="BO52" s="141" t="s">
        <v>869</v>
      </c>
      <c r="BP52" s="141" t="s">
        <v>869</v>
      </c>
      <c r="BQ52" s="135">
        <v>0</v>
      </c>
      <c r="BR52" s="141" t="s">
        <v>869</v>
      </c>
      <c r="BS52" s="141" t="s">
        <v>869</v>
      </c>
      <c r="BT52" s="135">
        <v>0</v>
      </c>
      <c r="BU52" s="141" t="s">
        <v>869</v>
      </c>
      <c r="BV52" s="141" t="s">
        <v>869</v>
      </c>
      <c r="BW52" s="135">
        <v>0</v>
      </c>
      <c r="BX52" s="141" t="s">
        <v>869</v>
      </c>
      <c r="BY52" s="141" t="s">
        <v>869</v>
      </c>
      <c r="BZ52" s="135">
        <v>0</v>
      </c>
      <c r="CA52" s="141" t="s">
        <v>869</v>
      </c>
      <c r="CB52" s="141" t="s">
        <v>869</v>
      </c>
      <c r="CC52" s="135">
        <v>0</v>
      </c>
      <c r="CD52" s="141" t="s">
        <v>869</v>
      </c>
      <c r="CE52" s="141" t="s">
        <v>869</v>
      </c>
      <c r="CF52" s="135">
        <v>0</v>
      </c>
      <c r="CG52" s="141" t="s">
        <v>869</v>
      </c>
      <c r="CH52" s="141" t="s">
        <v>869</v>
      </c>
      <c r="CI52" s="135">
        <v>0</v>
      </c>
      <c r="CJ52" s="141" t="s">
        <v>869</v>
      </c>
      <c r="CK52" s="141" t="s">
        <v>869</v>
      </c>
      <c r="CL52" s="135">
        <v>0</v>
      </c>
      <c r="CM52" s="141" t="s">
        <v>869</v>
      </c>
      <c r="CN52" s="141" t="s">
        <v>869</v>
      </c>
      <c r="CO52" s="135">
        <v>0</v>
      </c>
      <c r="CP52" s="141" t="s">
        <v>869</v>
      </c>
      <c r="CQ52" s="141" t="s">
        <v>869</v>
      </c>
      <c r="CR52" s="135">
        <v>0</v>
      </c>
      <c r="CS52" s="141" t="s">
        <v>869</v>
      </c>
      <c r="CT52" s="141" t="s">
        <v>869</v>
      </c>
      <c r="CU52" s="135">
        <v>0</v>
      </c>
      <c r="CV52" s="141" t="s">
        <v>869</v>
      </c>
      <c r="CW52" s="141" t="s">
        <v>869</v>
      </c>
      <c r="CX52" s="135">
        <v>0</v>
      </c>
      <c r="CY52" s="141" t="s">
        <v>869</v>
      </c>
      <c r="CZ52" s="141" t="s">
        <v>869</v>
      </c>
    </row>
    <row r="53" spans="1:104">
      <c r="A53" s="157" t="s">
        <v>1198</v>
      </c>
      <c r="B53" s="129">
        <f>B54+B60+B61</f>
        <v>18</v>
      </c>
      <c r="C53" s="129">
        <f t="shared" ref="C53:BN53" si="26">C54+C60+C61</f>
        <v>15.75</v>
      </c>
      <c r="D53" s="129">
        <f t="shared" si="26"/>
        <v>34067.734700000001</v>
      </c>
      <c r="E53" s="129">
        <f t="shared" si="26"/>
        <v>0</v>
      </c>
      <c r="F53" s="129">
        <f t="shared" si="26"/>
        <v>14.75</v>
      </c>
      <c r="G53" s="129">
        <f t="shared" si="26"/>
        <v>19123.048599999998</v>
      </c>
      <c r="H53" s="129">
        <f t="shared" si="26"/>
        <v>1</v>
      </c>
      <c r="I53" s="129">
        <f t="shared" si="26"/>
        <v>15.75</v>
      </c>
      <c r="J53" s="129">
        <f t="shared" si="26"/>
        <v>119851.5153</v>
      </c>
      <c r="K53" s="129">
        <f t="shared" si="26"/>
        <v>1</v>
      </c>
      <c r="L53" s="129">
        <f t="shared" si="26"/>
        <v>15.25</v>
      </c>
      <c r="M53" s="129">
        <f t="shared" si="26"/>
        <v>22700.35554</v>
      </c>
      <c r="N53" s="129">
        <f t="shared" si="26"/>
        <v>1</v>
      </c>
      <c r="O53" s="129">
        <f t="shared" si="26"/>
        <v>14.75</v>
      </c>
      <c r="P53" s="129">
        <f t="shared" si="26"/>
        <v>15490.463900000001</v>
      </c>
      <c r="Q53" s="129">
        <f t="shared" si="26"/>
        <v>1</v>
      </c>
      <c r="R53" s="129">
        <f t="shared" si="26"/>
        <v>10.75</v>
      </c>
      <c r="S53" s="129">
        <f t="shared" si="26"/>
        <v>1792.0219999999999</v>
      </c>
      <c r="T53" s="129">
        <f t="shared" si="26"/>
        <v>1</v>
      </c>
      <c r="U53" s="129">
        <f t="shared" si="26"/>
        <v>8.75</v>
      </c>
      <c r="V53" s="129">
        <f t="shared" si="26"/>
        <v>708.01340000000005</v>
      </c>
      <c r="W53" s="129">
        <f t="shared" si="26"/>
        <v>1</v>
      </c>
      <c r="X53" s="129">
        <f t="shared" si="26"/>
        <v>13.75</v>
      </c>
      <c r="Y53" s="129">
        <f t="shared" si="26"/>
        <v>18714.035199999998</v>
      </c>
      <c r="Z53" s="129">
        <f t="shared" si="26"/>
        <v>0</v>
      </c>
      <c r="AA53" s="129">
        <f t="shared" si="26"/>
        <v>13.5</v>
      </c>
      <c r="AB53" s="129">
        <f t="shared" si="26"/>
        <v>1318.7209</v>
      </c>
      <c r="AC53" s="129">
        <f t="shared" si="26"/>
        <v>0</v>
      </c>
      <c r="AD53" s="129">
        <f t="shared" si="26"/>
        <v>8.5</v>
      </c>
      <c r="AE53" s="129">
        <f t="shared" si="26"/>
        <v>3792.0335</v>
      </c>
      <c r="AF53" s="129">
        <f t="shared" si="26"/>
        <v>0</v>
      </c>
      <c r="AG53" s="129">
        <f t="shared" si="26"/>
        <v>14.25</v>
      </c>
      <c r="AH53" s="129">
        <f t="shared" si="26"/>
        <v>17091.0268</v>
      </c>
      <c r="AI53" s="129">
        <f t="shared" si="26"/>
        <v>0</v>
      </c>
      <c r="AJ53" s="129">
        <f t="shared" si="26"/>
        <v>8.75</v>
      </c>
      <c r="AK53" s="129">
        <f t="shared" si="26"/>
        <v>1762.8378</v>
      </c>
      <c r="AL53" s="129">
        <f t="shared" si="26"/>
        <v>0</v>
      </c>
      <c r="AM53" s="129">
        <f t="shared" si="26"/>
        <v>9</v>
      </c>
      <c r="AN53" s="129">
        <f t="shared" si="26"/>
        <v>0.01</v>
      </c>
      <c r="AO53" s="129">
        <f t="shared" si="26"/>
        <v>0</v>
      </c>
      <c r="AP53" s="129">
        <f t="shared" si="26"/>
        <v>8.25</v>
      </c>
      <c r="AQ53" s="129">
        <f t="shared" si="26"/>
        <v>2000.0156999999999</v>
      </c>
      <c r="AR53" s="129">
        <f t="shared" si="26"/>
        <v>0</v>
      </c>
      <c r="AS53" s="129">
        <f t="shared" si="26"/>
        <v>10.25</v>
      </c>
      <c r="AT53" s="129">
        <f t="shared" si="26"/>
        <v>2777.0346999999997</v>
      </c>
      <c r="AU53" s="129">
        <f t="shared" si="26"/>
        <v>0</v>
      </c>
      <c r="AV53" s="129">
        <f t="shared" si="26"/>
        <v>6.25</v>
      </c>
      <c r="AW53" s="129">
        <f t="shared" si="26"/>
        <v>2E-3</v>
      </c>
      <c r="AX53" s="129">
        <f t="shared" si="26"/>
        <v>0</v>
      </c>
      <c r="AY53" s="129">
        <f t="shared" si="26"/>
        <v>8</v>
      </c>
      <c r="AZ53" s="129">
        <f t="shared" si="26"/>
        <v>1.61E-2</v>
      </c>
      <c r="BA53" s="129">
        <f t="shared" si="26"/>
        <v>0</v>
      </c>
      <c r="BB53" s="129">
        <f t="shared" si="26"/>
        <v>11.75</v>
      </c>
      <c r="BC53" s="129">
        <f t="shared" si="26"/>
        <v>119851.03899999999</v>
      </c>
      <c r="BD53" s="129">
        <f t="shared" si="26"/>
        <v>0</v>
      </c>
      <c r="BE53" s="129">
        <f t="shared" si="26"/>
        <v>11.75</v>
      </c>
      <c r="BF53" s="129">
        <f t="shared" si="26"/>
        <v>20603.024300000001</v>
      </c>
      <c r="BG53" s="129">
        <f t="shared" si="26"/>
        <v>0</v>
      </c>
      <c r="BH53" s="129">
        <f t="shared" si="26"/>
        <v>11.25</v>
      </c>
      <c r="BI53" s="129">
        <f t="shared" si="26"/>
        <v>15941.040700000001</v>
      </c>
      <c r="BJ53" s="129">
        <f t="shared" si="26"/>
        <v>0</v>
      </c>
      <c r="BK53" s="129">
        <f t="shared" si="26"/>
        <v>11.25</v>
      </c>
      <c r="BL53" s="129">
        <f t="shared" si="26"/>
        <v>53895.041799999999</v>
      </c>
      <c r="BM53" s="129">
        <f t="shared" si="26"/>
        <v>0</v>
      </c>
      <c r="BN53" s="129">
        <f t="shared" si="26"/>
        <v>11.5</v>
      </c>
      <c r="BO53" s="129">
        <f t="shared" ref="BO53:CX53" si="27">BO54+BO60+BO61</f>
        <v>119850.5953</v>
      </c>
      <c r="BP53" s="129">
        <f t="shared" si="27"/>
        <v>0</v>
      </c>
      <c r="BQ53" s="129">
        <f t="shared" si="27"/>
        <v>10</v>
      </c>
      <c r="BR53" s="129">
        <f t="shared" si="27"/>
        <v>1100.0095000000001</v>
      </c>
      <c r="BS53" s="129">
        <f t="shared" si="27"/>
        <v>0</v>
      </c>
      <c r="BT53" s="129">
        <f t="shared" si="27"/>
        <v>3.25</v>
      </c>
      <c r="BU53" s="129">
        <f t="shared" si="27"/>
        <v>1.7599999999999998E-2</v>
      </c>
      <c r="BV53" s="129">
        <f t="shared" si="27"/>
        <v>0</v>
      </c>
      <c r="BW53" s="129">
        <f t="shared" si="27"/>
        <v>7.5</v>
      </c>
      <c r="BX53" s="129">
        <f t="shared" si="27"/>
        <v>3.5299999999999998E-2</v>
      </c>
      <c r="BY53" s="129">
        <f t="shared" si="27"/>
        <v>0</v>
      </c>
      <c r="BZ53" s="129">
        <f t="shared" si="27"/>
        <v>8.75</v>
      </c>
      <c r="CA53" s="129">
        <f t="shared" si="27"/>
        <v>2000.0159000000001</v>
      </c>
      <c r="CB53" s="129">
        <f t="shared" si="27"/>
        <v>0</v>
      </c>
      <c r="CC53" s="129">
        <f t="shared" si="27"/>
        <v>5.5</v>
      </c>
      <c r="CD53" s="129">
        <f t="shared" si="27"/>
        <v>3572.0137</v>
      </c>
      <c r="CE53" s="129">
        <f t="shared" si="27"/>
        <v>0</v>
      </c>
      <c r="CF53" s="129">
        <f t="shared" si="27"/>
        <v>10</v>
      </c>
      <c r="CG53" s="129">
        <f t="shared" si="27"/>
        <v>53895.031800000004</v>
      </c>
      <c r="CH53" s="129">
        <f t="shared" si="27"/>
        <v>0</v>
      </c>
      <c r="CI53" s="129">
        <f t="shared" si="27"/>
        <v>7</v>
      </c>
      <c r="CJ53" s="129">
        <f t="shared" si="27"/>
        <v>2755.0076999999997</v>
      </c>
      <c r="CK53" s="129">
        <f t="shared" si="27"/>
        <v>0</v>
      </c>
      <c r="CL53" s="129">
        <f t="shared" si="27"/>
        <v>5.75</v>
      </c>
      <c r="CM53" s="129">
        <f t="shared" si="27"/>
        <v>6907.0087000000003</v>
      </c>
      <c r="CN53" s="129">
        <f t="shared" si="27"/>
        <v>0</v>
      </c>
      <c r="CO53" s="129">
        <f t="shared" si="27"/>
        <v>4.5</v>
      </c>
      <c r="CP53" s="129">
        <f t="shared" si="27"/>
        <v>1318.713</v>
      </c>
      <c r="CQ53" s="129">
        <f t="shared" si="27"/>
        <v>0</v>
      </c>
      <c r="CR53" s="129">
        <f t="shared" si="27"/>
        <v>3</v>
      </c>
      <c r="CS53" s="129">
        <f t="shared" si="27"/>
        <v>6.0000000000000001E-3</v>
      </c>
      <c r="CT53" s="129">
        <f t="shared" si="27"/>
        <v>0</v>
      </c>
      <c r="CU53" s="129">
        <f t="shared" si="27"/>
        <v>4.5</v>
      </c>
      <c r="CV53" s="129">
        <f t="shared" si="27"/>
        <v>22479.020099999998</v>
      </c>
      <c r="CW53" s="129">
        <f t="shared" si="27"/>
        <v>0</v>
      </c>
      <c r="CX53" s="129">
        <f t="shared" si="27"/>
        <v>4.5</v>
      </c>
      <c r="CY53" s="129"/>
      <c r="CZ53" s="129"/>
    </row>
    <row r="54" spans="1:104" s="81" customFormat="1">
      <c r="A54" s="158" t="s">
        <v>1199</v>
      </c>
      <c r="B54" s="131">
        <f>SUM(B55:B58)</f>
        <v>9.5</v>
      </c>
      <c r="C54" s="131">
        <f t="shared" ref="C54:BN54" si="28">SUM(C55:C58)</f>
        <v>9</v>
      </c>
      <c r="D54" s="131">
        <f t="shared" si="28"/>
        <v>34067.734700000001</v>
      </c>
      <c r="E54" s="131">
        <f t="shared" si="28"/>
        <v>0</v>
      </c>
      <c r="F54" s="131">
        <f t="shared" si="28"/>
        <v>8.75</v>
      </c>
      <c r="G54" s="131">
        <f t="shared" si="28"/>
        <v>19122.548599999998</v>
      </c>
      <c r="H54" s="131">
        <f t="shared" si="28"/>
        <v>0.5</v>
      </c>
      <c r="I54" s="131">
        <f t="shared" si="28"/>
        <v>8.75</v>
      </c>
      <c r="J54" s="131">
        <f t="shared" si="28"/>
        <v>119851.0153</v>
      </c>
      <c r="K54" s="131">
        <f t="shared" si="28"/>
        <v>0.5</v>
      </c>
      <c r="L54" s="131">
        <f t="shared" si="28"/>
        <v>7.25</v>
      </c>
      <c r="M54" s="131">
        <f t="shared" si="28"/>
        <v>22699.85554</v>
      </c>
      <c r="N54" s="131">
        <f t="shared" si="28"/>
        <v>0.5</v>
      </c>
      <c r="O54" s="131">
        <f t="shared" si="28"/>
        <v>7.75</v>
      </c>
      <c r="P54" s="131">
        <f t="shared" si="28"/>
        <v>15489.963900000001</v>
      </c>
      <c r="Q54" s="131">
        <f t="shared" si="28"/>
        <v>0.5</v>
      </c>
      <c r="R54" s="131">
        <f t="shared" si="28"/>
        <v>3.75</v>
      </c>
      <c r="S54" s="131">
        <f t="shared" si="28"/>
        <v>1791.5219999999999</v>
      </c>
      <c r="T54" s="131">
        <f t="shared" si="28"/>
        <v>0.5</v>
      </c>
      <c r="U54" s="131">
        <f t="shared" si="28"/>
        <v>4</v>
      </c>
      <c r="V54" s="131">
        <f t="shared" si="28"/>
        <v>707.51340000000005</v>
      </c>
      <c r="W54" s="131">
        <f t="shared" si="28"/>
        <v>0.5</v>
      </c>
      <c r="X54" s="131">
        <f t="shared" si="28"/>
        <v>8</v>
      </c>
      <c r="Y54" s="131">
        <f t="shared" si="28"/>
        <v>18714.035199999998</v>
      </c>
      <c r="Z54" s="131">
        <f t="shared" si="28"/>
        <v>0</v>
      </c>
      <c r="AA54" s="131">
        <f t="shared" si="28"/>
        <v>6.5</v>
      </c>
      <c r="AB54" s="131">
        <f t="shared" si="28"/>
        <v>1318.7209</v>
      </c>
      <c r="AC54" s="131">
        <f t="shared" si="28"/>
        <v>0</v>
      </c>
      <c r="AD54" s="131">
        <f t="shared" si="28"/>
        <v>3.75</v>
      </c>
      <c r="AE54" s="131">
        <f t="shared" si="28"/>
        <v>3792.0335</v>
      </c>
      <c r="AF54" s="131">
        <f t="shared" si="28"/>
        <v>0</v>
      </c>
      <c r="AG54" s="131">
        <f t="shared" si="28"/>
        <v>7</v>
      </c>
      <c r="AH54" s="131">
        <f t="shared" si="28"/>
        <v>17091.0268</v>
      </c>
      <c r="AI54" s="131">
        <f t="shared" si="28"/>
        <v>0</v>
      </c>
      <c r="AJ54" s="131">
        <f t="shared" si="28"/>
        <v>6.75</v>
      </c>
      <c r="AK54" s="131">
        <f t="shared" si="28"/>
        <v>1762.8378</v>
      </c>
      <c r="AL54" s="131">
        <f t="shared" si="28"/>
        <v>0</v>
      </c>
      <c r="AM54" s="131">
        <f t="shared" si="28"/>
        <v>4.5</v>
      </c>
      <c r="AN54" s="131">
        <f t="shared" si="28"/>
        <v>0.01</v>
      </c>
      <c r="AO54" s="131">
        <f t="shared" si="28"/>
        <v>0</v>
      </c>
      <c r="AP54" s="131">
        <f t="shared" si="28"/>
        <v>4.25</v>
      </c>
      <c r="AQ54" s="131">
        <f t="shared" si="28"/>
        <v>2000.0156999999999</v>
      </c>
      <c r="AR54" s="131">
        <f t="shared" si="28"/>
        <v>0</v>
      </c>
      <c r="AS54" s="131">
        <f t="shared" si="28"/>
        <v>6.5</v>
      </c>
      <c r="AT54" s="131">
        <f t="shared" si="28"/>
        <v>2777.0346999999997</v>
      </c>
      <c r="AU54" s="131">
        <f t="shared" si="28"/>
        <v>0</v>
      </c>
      <c r="AV54" s="131">
        <f t="shared" si="28"/>
        <v>2.25</v>
      </c>
      <c r="AW54" s="131">
        <f t="shared" si="28"/>
        <v>2E-3</v>
      </c>
      <c r="AX54" s="131">
        <f t="shared" si="28"/>
        <v>0</v>
      </c>
      <c r="AY54" s="131">
        <f t="shared" si="28"/>
        <v>2.5</v>
      </c>
      <c r="AZ54" s="131">
        <f t="shared" si="28"/>
        <v>1.61E-2</v>
      </c>
      <c r="BA54" s="131">
        <f t="shared" si="28"/>
        <v>0</v>
      </c>
      <c r="BB54" s="131">
        <f t="shared" si="28"/>
        <v>6.75</v>
      </c>
      <c r="BC54" s="131">
        <f t="shared" si="28"/>
        <v>119851.03899999999</v>
      </c>
      <c r="BD54" s="131">
        <f t="shared" si="28"/>
        <v>0</v>
      </c>
      <c r="BE54" s="131">
        <f t="shared" si="28"/>
        <v>7.25</v>
      </c>
      <c r="BF54" s="131">
        <f t="shared" si="28"/>
        <v>20603.024300000001</v>
      </c>
      <c r="BG54" s="131">
        <f t="shared" si="28"/>
        <v>0</v>
      </c>
      <c r="BH54" s="131">
        <f t="shared" si="28"/>
        <v>7.25</v>
      </c>
      <c r="BI54" s="131">
        <f t="shared" si="28"/>
        <v>15941.040700000001</v>
      </c>
      <c r="BJ54" s="131">
        <f t="shared" si="28"/>
        <v>0</v>
      </c>
      <c r="BK54" s="131">
        <f t="shared" si="28"/>
        <v>6.75</v>
      </c>
      <c r="BL54" s="131">
        <f t="shared" si="28"/>
        <v>53895.041799999999</v>
      </c>
      <c r="BM54" s="131">
        <f t="shared" si="28"/>
        <v>0</v>
      </c>
      <c r="BN54" s="131">
        <f t="shared" si="28"/>
        <v>7</v>
      </c>
      <c r="BO54" s="131">
        <f t="shared" ref="BO54:CX54" si="29">SUM(BO55:BO58)</f>
        <v>119850.5953</v>
      </c>
      <c r="BP54" s="131">
        <f t="shared" si="29"/>
        <v>0</v>
      </c>
      <c r="BQ54" s="131">
        <f t="shared" si="29"/>
        <v>4</v>
      </c>
      <c r="BR54" s="131">
        <f t="shared" si="29"/>
        <v>1100.0095000000001</v>
      </c>
      <c r="BS54" s="131">
        <f t="shared" si="29"/>
        <v>0</v>
      </c>
      <c r="BT54" s="131">
        <f t="shared" si="29"/>
        <v>1.75</v>
      </c>
      <c r="BU54" s="131">
        <f t="shared" si="29"/>
        <v>1.7599999999999998E-2</v>
      </c>
      <c r="BV54" s="131">
        <f t="shared" si="29"/>
        <v>0</v>
      </c>
      <c r="BW54" s="131">
        <f t="shared" si="29"/>
        <v>3.5</v>
      </c>
      <c r="BX54" s="131">
        <f t="shared" si="29"/>
        <v>3.5299999999999998E-2</v>
      </c>
      <c r="BY54" s="131">
        <f t="shared" si="29"/>
        <v>0</v>
      </c>
      <c r="BZ54" s="131">
        <f t="shared" si="29"/>
        <v>3.75</v>
      </c>
      <c r="CA54" s="131">
        <f t="shared" si="29"/>
        <v>2000.0159000000001</v>
      </c>
      <c r="CB54" s="131">
        <f t="shared" si="29"/>
        <v>0</v>
      </c>
      <c r="CC54" s="131">
        <f t="shared" si="29"/>
        <v>3.5</v>
      </c>
      <c r="CD54" s="131">
        <f t="shared" si="29"/>
        <v>3572.0137</v>
      </c>
      <c r="CE54" s="131">
        <f t="shared" si="29"/>
        <v>0</v>
      </c>
      <c r="CF54" s="131">
        <f t="shared" si="29"/>
        <v>5</v>
      </c>
      <c r="CG54" s="131">
        <f t="shared" si="29"/>
        <v>53895.031800000004</v>
      </c>
      <c r="CH54" s="131">
        <f t="shared" si="29"/>
        <v>0</v>
      </c>
      <c r="CI54" s="131">
        <f t="shared" si="29"/>
        <v>5.5</v>
      </c>
      <c r="CJ54" s="131">
        <f t="shared" si="29"/>
        <v>2755.0076999999997</v>
      </c>
      <c r="CK54" s="131">
        <f t="shared" si="29"/>
        <v>0</v>
      </c>
      <c r="CL54" s="131">
        <f t="shared" si="29"/>
        <v>2.75</v>
      </c>
      <c r="CM54" s="131">
        <f t="shared" si="29"/>
        <v>6907.0087000000003</v>
      </c>
      <c r="CN54" s="131">
        <f t="shared" si="29"/>
        <v>0</v>
      </c>
      <c r="CO54" s="131">
        <f t="shared" si="29"/>
        <v>2.5</v>
      </c>
      <c r="CP54" s="131">
        <f t="shared" si="29"/>
        <v>1318.713</v>
      </c>
      <c r="CQ54" s="131">
        <f t="shared" si="29"/>
        <v>0</v>
      </c>
      <c r="CR54" s="131">
        <f t="shared" si="29"/>
        <v>1.5</v>
      </c>
      <c r="CS54" s="131">
        <f t="shared" si="29"/>
        <v>6.0000000000000001E-3</v>
      </c>
      <c r="CT54" s="131">
        <f t="shared" si="29"/>
        <v>0</v>
      </c>
      <c r="CU54" s="131">
        <f t="shared" si="29"/>
        <v>3.5</v>
      </c>
      <c r="CV54" s="131">
        <f t="shared" si="29"/>
        <v>22479.020099999998</v>
      </c>
      <c r="CW54" s="131">
        <f t="shared" si="29"/>
        <v>0</v>
      </c>
      <c r="CX54" s="131">
        <f t="shared" si="29"/>
        <v>3</v>
      </c>
      <c r="CY54" s="132"/>
      <c r="CZ54" s="132"/>
    </row>
    <row r="55" spans="1:104">
      <c r="A55" s="133" t="s">
        <v>1200</v>
      </c>
      <c r="B55" s="149">
        <v>4</v>
      </c>
      <c r="C55" s="135">
        <v>4</v>
      </c>
      <c r="D55" s="182">
        <v>4.2599999999999999E-2</v>
      </c>
      <c r="E55" s="180" t="s">
        <v>1201</v>
      </c>
      <c r="F55" s="135">
        <v>4</v>
      </c>
      <c r="G55" s="182">
        <v>3.56E-2</v>
      </c>
      <c r="H55" s="173" t="s">
        <v>1202</v>
      </c>
      <c r="I55" s="135">
        <v>4</v>
      </c>
      <c r="J55" s="182">
        <v>3.3599999999999998E-2</v>
      </c>
      <c r="K55" s="173" t="s">
        <v>1203</v>
      </c>
      <c r="L55" s="135">
        <v>3.25</v>
      </c>
      <c r="M55" s="182">
        <v>1.9300000000000001E-2</v>
      </c>
      <c r="N55" s="173" t="s">
        <v>1203</v>
      </c>
      <c r="O55" s="135">
        <v>4</v>
      </c>
      <c r="P55" s="182">
        <v>4.1799999999999997E-2</v>
      </c>
      <c r="Q55" s="173" t="s">
        <v>1203</v>
      </c>
      <c r="R55" s="135">
        <v>2</v>
      </c>
      <c r="S55" s="183">
        <v>1.2800000000000001E-2</v>
      </c>
      <c r="T55" s="137" t="s">
        <v>1204</v>
      </c>
      <c r="U55" s="135">
        <v>2</v>
      </c>
      <c r="V55" s="182">
        <v>1.1299999999999999E-2</v>
      </c>
      <c r="W55" s="135" t="s">
        <v>1205</v>
      </c>
      <c r="X55" s="135">
        <v>3.5</v>
      </c>
      <c r="Y55" s="182">
        <v>2.1600000000000001E-2</v>
      </c>
      <c r="Z55" s="173" t="s">
        <v>1203</v>
      </c>
      <c r="AA55" s="135">
        <v>3</v>
      </c>
      <c r="AB55" s="182">
        <v>1.38E-2</v>
      </c>
      <c r="AC55" s="173" t="s">
        <v>1203</v>
      </c>
      <c r="AD55" s="135">
        <v>1.75</v>
      </c>
      <c r="AE55" s="182">
        <v>2.3800000000000002E-2</v>
      </c>
      <c r="AF55" s="173" t="s">
        <v>1203</v>
      </c>
      <c r="AG55" s="135">
        <v>3.25</v>
      </c>
      <c r="AH55" s="182">
        <v>1.7000000000000001E-2</v>
      </c>
      <c r="AI55" s="173" t="s">
        <v>1203</v>
      </c>
      <c r="AJ55" s="135">
        <v>4</v>
      </c>
      <c r="AK55" s="182">
        <v>3.09E-2</v>
      </c>
      <c r="AL55" s="173" t="s">
        <v>1203</v>
      </c>
      <c r="AM55" s="135">
        <v>2.75</v>
      </c>
      <c r="AN55" s="182">
        <v>6.7000000000000002E-3</v>
      </c>
      <c r="AO55" s="173" t="s">
        <v>1203</v>
      </c>
      <c r="AP55" s="135">
        <v>3.25</v>
      </c>
      <c r="AQ55" s="182">
        <v>1.5699999999999999E-2</v>
      </c>
      <c r="AR55" s="135" t="s">
        <v>1206</v>
      </c>
      <c r="AS55" s="135">
        <v>3.5</v>
      </c>
      <c r="AT55" s="182">
        <v>2.06E-2</v>
      </c>
      <c r="AU55" s="177" t="s">
        <v>1207</v>
      </c>
      <c r="AV55" s="135">
        <v>1</v>
      </c>
      <c r="AW55" s="182">
        <v>2E-3</v>
      </c>
      <c r="AX55" s="177" t="s">
        <v>1207</v>
      </c>
      <c r="AY55" s="135">
        <v>2</v>
      </c>
      <c r="AZ55" s="182">
        <v>1.29E-2</v>
      </c>
      <c r="BA55" s="177" t="s">
        <v>1207</v>
      </c>
      <c r="BB55" s="135">
        <v>3.5</v>
      </c>
      <c r="BC55" s="182">
        <v>2.2599999999999999E-2</v>
      </c>
      <c r="BD55" s="177" t="s">
        <v>1207</v>
      </c>
      <c r="BE55" s="135">
        <v>3</v>
      </c>
      <c r="BF55" s="182">
        <v>1.3899999999999999E-2</v>
      </c>
      <c r="BG55" s="177" t="s">
        <v>1207</v>
      </c>
      <c r="BH55" s="135">
        <v>3</v>
      </c>
      <c r="BI55" s="182">
        <v>2.69E-2</v>
      </c>
      <c r="BJ55" s="177" t="s">
        <v>1207</v>
      </c>
      <c r="BK55" s="135">
        <v>4</v>
      </c>
      <c r="BL55" s="182">
        <v>3.1399999999999997E-2</v>
      </c>
      <c r="BM55" s="177" t="s">
        <v>1207</v>
      </c>
      <c r="BN55" s="135">
        <v>3</v>
      </c>
      <c r="BO55" s="182">
        <v>3.3599999999999998E-2</v>
      </c>
      <c r="BP55" s="177" t="s">
        <v>1207</v>
      </c>
      <c r="BQ55" s="135">
        <v>2.75</v>
      </c>
      <c r="BR55" s="182">
        <v>5.8999999999999999E-3</v>
      </c>
      <c r="BS55" s="177" t="s">
        <v>1207</v>
      </c>
      <c r="BT55" s="135">
        <v>0.75</v>
      </c>
      <c r="BU55" s="182">
        <v>9.4999999999999998E-3</v>
      </c>
      <c r="BV55" s="177" t="s">
        <v>1207</v>
      </c>
      <c r="BW55" s="135">
        <v>1.5</v>
      </c>
      <c r="BX55" s="182">
        <v>2.1499999999999998E-2</v>
      </c>
      <c r="BY55" s="177" t="s">
        <v>1207</v>
      </c>
      <c r="BZ55" s="135">
        <v>2.25</v>
      </c>
      <c r="CA55" s="182">
        <v>1.5900000000000001E-2</v>
      </c>
      <c r="CB55" s="137" t="s">
        <v>1208</v>
      </c>
      <c r="CC55" s="135">
        <v>1</v>
      </c>
      <c r="CD55" s="182">
        <v>1.14E-2</v>
      </c>
      <c r="CE55" s="177" t="s">
        <v>1207</v>
      </c>
      <c r="CF55" s="135">
        <v>2.5</v>
      </c>
      <c r="CG55" s="182">
        <v>1.6899999999999998E-2</v>
      </c>
      <c r="CH55" s="177" t="s">
        <v>1207</v>
      </c>
      <c r="CI55" s="135">
        <v>2.5</v>
      </c>
      <c r="CJ55" s="182">
        <v>4.1999999999999997E-3</v>
      </c>
      <c r="CK55" s="177" t="s">
        <v>1207</v>
      </c>
      <c r="CL55" s="135">
        <v>0.75</v>
      </c>
      <c r="CM55" s="182">
        <v>5.8999999999999999E-3</v>
      </c>
      <c r="CN55" s="177" t="s">
        <v>1207</v>
      </c>
      <c r="CO55" s="135">
        <v>0.75</v>
      </c>
      <c r="CP55" s="182">
        <v>6.7000000000000002E-3</v>
      </c>
      <c r="CQ55" s="177" t="s">
        <v>1207</v>
      </c>
      <c r="CR55" s="135">
        <v>1</v>
      </c>
      <c r="CS55" s="182">
        <v>4.0000000000000001E-3</v>
      </c>
      <c r="CT55" s="177" t="s">
        <v>1207</v>
      </c>
      <c r="CU55" s="135">
        <v>1</v>
      </c>
      <c r="CV55" s="182">
        <v>1.01E-2</v>
      </c>
      <c r="CW55" s="177" t="s">
        <v>1207</v>
      </c>
      <c r="CX55" s="135">
        <v>1.5</v>
      </c>
      <c r="CY55" s="182">
        <v>5.7999999999999996E-3</v>
      </c>
      <c r="CZ55" s="177" t="s">
        <v>1207</v>
      </c>
    </row>
    <row r="56" spans="1:104">
      <c r="A56" s="133" t="s">
        <v>1209</v>
      </c>
      <c r="B56" s="149">
        <v>3</v>
      </c>
      <c r="C56" s="135">
        <v>3</v>
      </c>
      <c r="D56" s="181">
        <v>34067.68</v>
      </c>
      <c r="E56" s="180" t="s">
        <v>1210</v>
      </c>
      <c r="F56" s="135">
        <v>2.75</v>
      </c>
      <c r="G56">
        <v>19122</v>
      </c>
      <c r="H56" s="173" t="s">
        <v>1211</v>
      </c>
      <c r="I56" s="135">
        <v>2.75</v>
      </c>
      <c r="J56">
        <v>119850.47</v>
      </c>
      <c r="K56" t="s">
        <v>1212</v>
      </c>
      <c r="L56" s="135">
        <v>2</v>
      </c>
      <c r="M56">
        <v>22699.326000000001</v>
      </c>
      <c r="N56" t="s">
        <v>1213</v>
      </c>
      <c r="O56" s="135">
        <v>1.75</v>
      </c>
      <c r="P56" s="184">
        <v>15489.414000000001</v>
      </c>
      <c r="Q56" s="177" t="s">
        <v>545</v>
      </c>
      <c r="R56" s="135">
        <v>0.25</v>
      </c>
      <c r="S56">
        <v>1791</v>
      </c>
      <c r="T56" s="180" t="s">
        <v>1214</v>
      </c>
      <c r="U56" s="135">
        <v>1</v>
      </c>
      <c r="V56">
        <v>707</v>
      </c>
      <c r="W56" s="177" t="s">
        <v>545</v>
      </c>
      <c r="X56" s="135">
        <v>2.5</v>
      </c>
      <c r="Y56">
        <v>18714</v>
      </c>
      <c r="Z56" t="s">
        <v>1215</v>
      </c>
      <c r="AA56" s="135">
        <v>2</v>
      </c>
      <c r="AB56">
        <v>1318.7</v>
      </c>
      <c r="AC56" s="173" t="s">
        <v>1216</v>
      </c>
      <c r="AD56" s="135">
        <v>0.5</v>
      </c>
      <c r="AE56">
        <v>3792</v>
      </c>
      <c r="AF56" s="173" t="s">
        <v>1217</v>
      </c>
      <c r="AG56" s="135">
        <v>2.25</v>
      </c>
      <c r="AH56">
        <v>17091</v>
      </c>
      <c r="AI56" s="173" t="s">
        <v>1218</v>
      </c>
      <c r="AJ56" s="135">
        <v>1.75</v>
      </c>
      <c r="AK56">
        <v>1762.8</v>
      </c>
      <c r="AL56" s="173" t="s">
        <v>1219</v>
      </c>
      <c r="AM56" s="135">
        <v>0.75</v>
      </c>
      <c r="AN56">
        <v>0</v>
      </c>
      <c r="AO56" s="173" t="s">
        <v>1220</v>
      </c>
      <c r="AP56" s="135">
        <v>1</v>
      </c>
      <c r="AQ56" s="185">
        <v>2000</v>
      </c>
      <c r="AR56" s="154" t="s">
        <v>1221</v>
      </c>
      <c r="AS56" s="135">
        <v>1</v>
      </c>
      <c r="AT56" s="135">
        <v>2777</v>
      </c>
      <c r="AU56" s="173" t="s">
        <v>1222</v>
      </c>
      <c r="AV56" s="135">
        <v>0.75</v>
      </c>
      <c r="AW56" s="185">
        <v>0</v>
      </c>
      <c r="AX56" s="177">
        <v>0</v>
      </c>
      <c r="AY56" s="135">
        <v>0</v>
      </c>
      <c r="AZ56" s="141" t="s">
        <v>869</v>
      </c>
      <c r="BA56" s="141" t="s">
        <v>869</v>
      </c>
      <c r="BB56" s="135">
        <v>1.25</v>
      </c>
      <c r="BC56">
        <v>119851</v>
      </c>
      <c r="BD56" t="s">
        <v>1223</v>
      </c>
      <c r="BE56" s="135">
        <v>2.25</v>
      </c>
      <c r="BF56">
        <v>20603</v>
      </c>
      <c r="BG56" s="141" t="s">
        <v>1224</v>
      </c>
      <c r="BH56" s="135">
        <v>2.25</v>
      </c>
      <c r="BI56">
        <v>15941</v>
      </c>
      <c r="BJ56" t="s">
        <v>1225</v>
      </c>
      <c r="BK56" s="135">
        <v>1.25</v>
      </c>
      <c r="BL56">
        <v>53895</v>
      </c>
      <c r="BM56" s="173" t="s">
        <v>1226</v>
      </c>
      <c r="BN56" s="135">
        <v>2</v>
      </c>
      <c r="BO56">
        <v>119850.55</v>
      </c>
      <c r="BP56" t="s">
        <v>1212</v>
      </c>
      <c r="BQ56" s="135">
        <v>0.25</v>
      </c>
      <c r="BR56" s="186">
        <v>1100</v>
      </c>
      <c r="BS56" s="141" t="s">
        <v>850</v>
      </c>
      <c r="BT56" s="135">
        <v>0</v>
      </c>
      <c r="BU56" s="141" t="s">
        <v>869</v>
      </c>
      <c r="BV56" s="141" t="s">
        <v>869</v>
      </c>
      <c r="BW56" s="135">
        <v>0</v>
      </c>
      <c r="BX56" s="141" t="s">
        <v>869</v>
      </c>
      <c r="BY56" s="141" t="s">
        <v>869</v>
      </c>
      <c r="BZ56" s="135">
        <v>1</v>
      </c>
      <c r="CA56" s="187">
        <v>2000</v>
      </c>
      <c r="CB56" s="154" t="s">
        <v>1221</v>
      </c>
      <c r="CC56" s="135">
        <v>1.5</v>
      </c>
      <c r="CD56" s="181">
        <v>3572</v>
      </c>
      <c r="CE56" s="181" t="s">
        <v>1227</v>
      </c>
      <c r="CF56" s="135">
        <v>0.5</v>
      </c>
      <c r="CG56">
        <v>53895</v>
      </c>
      <c r="CH56" s="173" t="s">
        <v>1226</v>
      </c>
      <c r="CI56" s="135">
        <v>2</v>
      </c>
      <c r="CJ56">
        <v>2755</v>
      </c>
      <c r="CK56" s="173" t="s">
        <v>1228</v>
      </c>
      <c r="CL56" s="135">
        <v>1</v>
      </c>
      <c r="CM56">
        <v>6907</v>
      </c>
      <c r="CN56" s="177" t="s">
        <v>1229</v>
      </c>
      <c r="CO56" s="135">
        <v>0.25</v>
      </c>
      <c r="CP56">
        <v>1318.7</v>
      </c>
      <c r="CQ56" s="173" t="s">
        <v>1230</v>
      </c>
      <c r="CR56" s="135">
        <v>0</v>
      </c>
      <c r="CS56" s="141" t="s">
        <v>869</v>
      </c>
      <c r="CT56" s="141" t="s">
        <v>869</v>
      </c>
      <c r="CU56" s="135">
        <v>1</v>
      </c>
      <c r="CV56">
        <v>22479</v>
      </c>
      <c r="CW56" t="s">
        <v>1231</v>
      </c>
      <c r="CX56" s="135">
        <v>1</v>
      </c>
      <c r="CY56">
        <v>6907</v>
      </c>
      <c r="CZ56" s="173" t="s">
        <v>1229</v>
      </c>
    </row>
    <row r="57" spans="1:104">
      <c r="A57" s="133" t="s">
        <v>1232</v>
      </c>
      <c r="B57" s="149">
        <v>2</v>
      </c>
      <c r="C57" s="135">
        <v>1.5</v>
      </c>
      <c r="D57" s="182">
        <v>1.21E-2</v>
      </c>
      <c r="E57" s="173" t="s">
        <v>1233</v>
      </c>
      <c r="F57" s="135">
        <v>1.5</v>
      </c>
      <c r="G57" s="182">
        <v>1.2999999999999999E-2</v>
      </c>
      <c r="H57" s="173" t="s">
        <v>1207</v>
      </c>
      <c r="I57" s="135">
        <v>1.5</v>
      </c>
      <c r="J57" s="182">
        <v>1.17E-2</v>
      </c>
      <c r="K57" s="173" t="s">
        <v>1203</v>
      </c>
      <c r="L57" s="135">
        <v>1.5</v>
      </c>
      <c r="M57" s="182">
        <v>1.0240000000000001E-2</v>
      </c>
      <c r="N57" s="173" t="s">
        <v>1203</v>
      </c>
      <c r="O57" s="135">
        <v>1.5</v>
      </c>
      <c r="P57" s="182">
        <v>8.0999999999999996E-3</v>
      </c>
      <c r="Q57" s="173" t="s">
        <v>1203</v>
      </c>
      <c r="R57" s="135">
        <v>1</v>
      </c>
      <c r="S57" s="182">
        <v>9.1999999999999998E-3</v>
      </c>
      <c r="T57" s="137" t="s">
        <v>1234</v>
      </c>
      <c r="U57" s="135">
        <v>0.5</v>
      </c>
      <c r="V57" s="182">
        <v>2.0999999999999999E-3</v>
      </c>
      <c r="W57" s="135" t="s">
        <v>1205</v>
      </c>
      <c r="X57" s="135">
        <v>1.5</v>
      </c>
      <c r="Y57" s="95">
        <v>1.3599999999999999E-2</v>
      </c>
      <c r="Z57" s="173" t="s">
        <v>1203</v>
      </c>
      <c r="AA57" s="135">
        <v>1</v>
      </c>
      <c r="AB57" s="182">
        <v>7.1000000000000004E-3</v>
      </c>
      <c r="AC57" s="173" t="s">
        <v>1203</v>
      </c>
      <c r="AD57" s="135">
        <v>1</v>
      </c>
      <c r="AE57" s="182">
        <v>9.7000000000000003E-3</v>
      </c>
      <c r="AF57" s="173" t="s">
        <v>1203</v>
      </c>
      <c r="AG57" s="135">
        <v>1</v>
      </c>
      <c r="AH57" s="182">
        <v>9.7999999999999997E-3</v>
      </c>
      <c r="AI57" s="173" t="s">
        <v>1203</v>
      </c>
      <c r="AJ57" s="135">
        <v>1</v>
      </c>
      <c r="AK57" s="182">
        <v>6.8999999999999999E-3</v>
      </c>
      <c r="AL57" s="173" t="s">
        <v>1203</v>
      </c>
      <c r="AM57" s="135">
        <v>0.5</v>
      </c>
      <c r="AN57" s="182">
        <v>3.3E-3</v>
      </c>
      <c r="AO57" s="177" t="s">
        <v>1207</v>
      </c>
      <c r="AP57" s="135">
        <v>0</v>
      </c>
      <c r="AQ57" s="141" t="s">
        <v>869</v>
      </c>
      <c r="AR57" s="141" t="s">
        <v>869</v>
      </c>
      <c r="AS57" s="135">
        <v>2</v>
      </c>
      <c r="AT57" s="182">
        <v>1.41E-2</v>
      </c>
      <c r="AU57" s="177" t="s">
        <v>1207</v>
      </c>
      <c r="AV57" s="135">
        <v>0</v>
      </c>
      <c r="AW57" s="141" t="s">
        <v>869</v>
      </c>
      <c r="AX57" s="141" t="s">
        <v>869</v>
      </c>
      <c r="AY57" s="135">
        <v>0.5</v>
      </c>
      <c r="AZ57" s="182">
        <v>3.2000000000000002E-3</v>
      </c>
      <c r="BA57" s="177" t="s">
        <v>1207</v>
      </c>
      <c r="BB57" s="135">
        <v>2</v>
      </c>
      <c r="BC57" s="182">
        <v>1.6400000000000001E-2</v>
      </c>
      <c r="BD57" s="177" t="s">
        <v>1207</v>
      </c>
      <c r="BE57" s="135">
        <v>1.5</v>
      </c>
      <c r="BF57" s="182">
        <v>1.04E-2</v>
      </c>
      <c r="BG57" s="177" t="s">
        <v>1207</v>
      </c>
      <c r="BH57" s="135">
        <v>1.5</v>
      </c>
      <c r="BI57" s="182">
        <v>1.38E-2</v>
      </c>
      <c r="BJ57" s="177" t="s">
        <v>1207</v>
      </c>
      <c r="BK57" s="135">
        <v>1.5</v>
      </c>
      <c r="BL57" s="182">
        <v>1.04E-2</v>
      </c>
      <c r="BM57" s="177" t="s">
        <v>1207</v>
      </c>
      <c r="BN57" s="135">
        <v>1.5</v>
      </c>
      <c r="BO57" s="182">
        <v>1.17E-2</v>
      </c>
      <c r="BP57" s="177" t="s">
        <v>1207</v>
      </c>
      <c r="BQ57" s="135">
        <v>0.5</v>
      </c>
      <c r="BR57" s="182">
        <v>3.5999999999999999E-3</v>
      </c>
      <c r="BS57" s="177" t="s">
        <v>1207</v>
      </c>
      <c r="BT57" s="135">
        <v>1</v>
      </c>
      <c r="BU57" s="182">
        <v>8.0999999999999996E-3</v>
      </c>
      <c r="BV57" s="177" t="s">
        <v>1207</v>
      </c>
      <c r="BW57" s="135">
        <v>1.5</v>
      </c>
      <c r="BX57" s="182">
        <v>1.38E-2</v>
      </c>
      <c r="BY57" s="177" t="s">
        <v>1207</v>
      </c>
      <c r="BZ57" s="135">
        <v>0</v>
      </c>
      <c r="CA57" s="141" t="s">
        <v>869</v>
      </c>
      <c r="CB57" s="141" t="s">
        <v>869</v>
      </c>
      <c r="CC57" s="135">
        <v>0.5</v>
      </c>
      <c r="CD57" s="182">
        <v>2.3E-3</v>
      </c>
      <c r="CE57" s="177" t="s">
        <v>1207</v>
      </c>
      <c r="CF57" s="135">
        <v>2</v>
      </c>
      <c r="CG57" s="182">
        <v>1.49E-2</v>
      </c>
      <c r="CH57" s="177" t="s">
        <v>1207</v>
      </c>
      <c r="CI57" s="135">
        <v>0.5</v>
      </c>
      <c r="CJ57" s="182">
        <v>3.5000000000000001E-3</v>
      </c>
      <c r="CK57" s="177" t="s">
        <v>1207</v>
      </c>
      <c r="CL57" s="135">
        <v>0.5</v>
      </c>
      <c r="CM57" s="182">
        <v>2.8E-3</v>
      </c>
      <c r="CN57" s="177" t="s">
        <v>1207</v>
      </c>
      <c r="CO57" s="135">
        <v>1</v>
      </c>
      <c r="CP57" s="182">
        <v>6.3E-3</v>
      </c>
      <c r="CQ57" s="177" t="s">
        <v>1207</v>
      </c>
      <c r="CR57" s="135">
        <v>0.5</v>
      </c>
      <c r="CS57" s="182">
        <v>2E-3</v>
      </c>
      <c r="CT57" s="188" t="s">
        <v>1235</v>
      </c>
      <c r="CU57" s="135">
        <v>1.5</v>
      </c>
      <c r="CV57" s="182">
        <v>0.01</v>
      </c>
      <c r="CW57" s="177" t="s">
        <v>1207</v>
      </c>
      <c r="CX57" s="135">
        <v>0.5</v>
      </c>
      <c r="CY57" s="182">
        <v>5.7000000000000002E-3</v>
      </c>
      <c r="CZ57" s="177" t="s">
        <v>1207</v>
      </c>
    </row>
    <row r="58" spans="1:104" ht="16.5">
      <c r="A58" s="133" t="s">
        <v>1236</v>
      </c>
      <c r="B58" s="134">
        <v>0.5</v>
      </c>
      <c r="C58" s="135">
        <v>0.5</v>
      </c>
      <c r="D58" s="136"/>
      <c r="E58" s="76"/>
      <c r="F58" s="135">
        <v>0.5</v>
      </c>
      <c r="G58" s="135">
        <v>0.5</v>
      </c>
      <c r="H58" s="135">
        <v>0.5</v>
      </c>
      <c r="I58" s="135">
        <v>0.5</v>
      </c>
      <c r="J58" s="135">
        <v>0.5</v>
      </c>
      <c r="K58" s="135">
        <v>0.5</v>
      </c>
      <c r="L58" s="135">
        <v>0.5</v>
      </c>
      <c r="M58" s="135">
        <v>0.5</v>
      </c>
      <c r="N58" s="135">
        <v>0.5</v>
      </c>
      <c r="O58" s="135">
        <v>0.5</v>
      </c>
      <c r="P58" s="135">
        <v>0.5</v>
      </c>
      <c r="Q58" s="135">
        <v>0.5</v>
      </c>
      <c r="R58" s="135">
        <v>0.5</v>
      </c>
      <c r="S58" s="135">
        <v>0.5</v>
      </c>
      <c r="T58" s="135">
        <v>0.5</v>
      </c>
      <c r="U58" s="135">
        <v>0.5</v>
      </c>
      <c r="V58" s="135">
        <v>0.5</v>
      </c>
      <c r="W58" s="135">
        <v>0.5</v>
      </c>
      <c r="X58" s="135">
        <v>0.5</v>
      </c>
      <c r="Y58" s="136"/>
      <c r="Z58" s="140"/>
      <c r="AA58" s="135">
        <v>0.5</v>
      </c>
      <c r="AB58" s="136"/>
      <c r="AC58" s="76"/>
      <c r="AD58" s="135">
        <v>0.5</v>
      </c>
      <c r="AE58" s="136"/>
      <c r="AF58" s="140"/>
      <c r="AG58" s="135">
        <v>0.5</v>
      </c>
      <c r="AH58" s="136"/>
      <c r="AI58" s="76"/>
      <c r="AJ58" s="135">
        <v>0</v>
      </c>
      <c r="AK58" s="136"/>
      <c r="AL58" s="76"/>
      <c r="AM58" s="135">
        <v>0.5</v>
      </c>
      <c r="AN58" s="141"/>
      <c r="AO58" s="141"/>
      <c r="AP58" s="135">
        <v>0</v>
      </c>
      <c r="AQ58" s="136"/>
      <c r="AS58" s="135">
        <v>0</v>
      </c>
      <c r="AT58" s="136"/>
      <c r="AU58" s="76"/>
      <c r="AV58" s="135">
        <v>0.5</v>
      </c>
      <c r="AW58" s="136"/>
      <c r="AX58" s="140"/>
      <c r="AY58" s="135">
        <v>0</v>
      </c>
      <c r="AZ58" s="136"/>
      <c r="BA58" s="138"/>
      <c r="BB58" s="135">
        <v>0</v>
      </c>
      <c r="BC58" s="136"/>
      <c r="BE58" s="135">
        <v>0.5</v>
      </c>
      <c r="BF58" s="136"/>
      <c r="BG58" s="140"/>
      <c r="BH58" s="135">
        <v>0.5</v>
      </c>
      <c r="BI58" s="189"/>
      <c r="BJ58" s="76"/>
      <c r="BK58" s="135">
        <v>0</v>
      </c>
      <c r="BL58" s="141"/>
      <c r="BM58" s="141"/>
      <c r="BN58" s="135">
        <v>0.5</v>
      </c>
      <c r="BO58" s="136"/>
      <c r="BP58" s="140"/>
      <c r="BQ58" s="135">
        <v>0.5</v>
      </c>
      <c r="BR58" s="136"/>
      <c r="BS58" s="76"/>
      <c r="BT58" s="135">
        <v>0</v>
      </c>
      <c r="BU58" s="141"/>
      <c r="BV58" s="141"/>
      <c r="BW58" s="135">
        <v>0.5</v>
      </c>
      <c r="BX58" s="136"/>
      <c r="BZ58" s="135">
        <v>0.5</v>
      </c>
      <c r="CA58" s="136"/>
      <c r="CC58" s="135">
        <v>0.5</v>
      </c>
      <c r="CD58" s="141"/>
      <c r="CE58" s="141"/>
      <c r="CF58" s="135">
        <v>0</v>
      </c>
      <c r="CG58" s="136"/>
      <c r="CH58" s="76"/>
      <c r="CI58" s="135">
        <v>0.5</v>
      </c>
      <c r="CJ58" s="136"/>
      <c r="CK58" s="140"/>
      <c r="CL58" s="135">
        <v>0.5</v>
      </c>
      <c r="CM58" s="136"/>
      <c r="CN58" s="76"/>
      <c r="CO58" s="135">
        <v>0.5</v>
      </c>
      <c r="CP58" s="141"/>
      <c r="CQ58" s="141"/>
      <c r="CR58" s="135">
        <v>0</v>
      </c>
      <c r="CS58" s="189"/>
      <c r="CT58" s="76"/>
      <c r="CU58" s="135">
        <v>0</v>
      </c>
      <c r="CV58" s="136"/>
      <c r="CW58" s="138"/>
      <c r="CX58" s="135">
        <v>0</v>
      </c>
      <c r="CY58" s="141"/>
      <c r="CZ58" s="141"/>
    </row>
    <row r="59" spans="1:104" s="81" customFormat="1">
      <c r="A59" s="158" t="s">
        <v>1237</v>
      </c>
      <c r="B59" s="131">
        <f>B60</f>
        <v>2</v>
      </c>
      <c r="C59" s="131">
        <f t="shared" ref="C59:BN59" si="30">C60</f>
        <v>1.75</v>
      </c>
      <c r="D59" s="131">
        <f t="shared" si="30"/>
        <v>0</v>
      </c>
      <c r="E59" s="131">
        <f t="shared" si="30"/>
        <v>0</v>
      </c>
      <c r="F59" s="131">
        <f t="shared" si="30"/>
        <v>1.5</v>
      </c>
      <c r="G59" s="131">
        <f t="shared" si="30"/>
        <v>0</v>
      </c>
      <c r="H59" s="131">
        <f t="shared" si="30"/>
        <v>0</v>
      </c>
      <c r="I59" s="131">
        <f t="shared" si="30"/>
        <v>2</v>
      </c>
      <c r="J59" s="131">
        <f t="shared" si="30"/>
        <v>0</v>
      </c>
      <c r="K59" s="131">
        <f t="shared" si="30"/>
        <v>0</v>
      </c>
      <c r="L59" s="131">
        <f t="shared" si="30"/>
        <v>2</v>
      </c>
      <c r="M59" s="131">
        <f t="shared" si="30"/>
        <v>0</v>
      </c>
      <c r="N59" s="131">
        <f t="shared" si="30"/>
        <v>0</v>
      </c>
      <c r="O59" s="131">
        <f t="shared" si="30"/>
        <v>1.5</v>
      </c>
      <c r="P59" s="131">
        <f t="shared" si="30"/>
        <v>0</v>
      </c>
      <c r="Q59" s="131">
        <f t="shared" si="30"/>
        <v>0</v>
      </c>
      <c r="R59" s="131">
        <f t="shared" si="30"/>
        <v>2</v>
      </c>
      <c r="S59" s="131">
        <f t="shared" si="30"/>
        <v>0</v>
      </c>
      <c r="T59" s="131">
        <f t="shared" si="30"/>
        <v>0</v>
      </c>
      <c r="U59" s="131">
        <f t="shared" si="30"/>
        <v>1.25</v>
      </c>
      <c r="V59" s="131">
        <f t="shared" si="30"/>
        <v>0</v>
      </c>
      <c r="W59" s="131">
        <f t="shared" si="30"/>
        <v>0</v>
      </c>
      <c r="X59" s="131">
        <f t="shared" si="30"/>
        <v>1.25</v>
      </c>
      <c r="Y59" s="131">
        <f t="shared" si="30"/>
        <v>0</v>
      </c>
      <c r="Z59" s="131">
        <f t="shared" si="30"/>
        <v>0</v>
      </c>
      <c r="AA59" s="131">
        <f t="shared" si="30"/>
        <v>2</v>
      </c>
      <c r="AB59" s="131">
        <f t="shared" si="30"/>
        <v>0</v>
      </c>
      <c r="AC59" s="131">
        <f t="shared" si="30"/>
        <v>0</v>
      </c>
      <c r="AD59" s="131">
        <f t="shared" si="30"/>
        <v>1.25</v>
      </c>
      <c r="AE59" s="131">
        <f t="shared" si="30"/>
        <v>0</v>
      </c>
      <c r="AF59" s="131">
        <f t="shared" si="30"/>
        <v>0</v>
      </c>
      <c r="AG59" s="131">
        <f t="shared" si="30"/>
        <v>1.25</v>
      </c>
      <c r="AH59" s="131">
        <f t="shared" si="30"/>
        <v>0</v>
      </c>
      <c r="AI59" s="131">
        <f t="shared" si="30"/>
        <v>0</v>
      </c>
      <c r="AJ59" s="131">
        <f t="shared" si="30"/>
        <v>1</v>
      </c>
      <c r="AK59" s="131">
        <f t="shared" si="30"/>
        <v>0</v>
      </c>
      <c r="AL59" s="131">
        <f t="shared" si="30"/>
        <v>0</v>
      </c>
      <c r="AM59" s="131">
        <f t="shared" si="30"/>
        <v>0.5</v>
      </c>
      <c r="AN59" s="131">
        <f t="shared" si="30"/>
        <v>0</v>
      </c>
      <c r="AO59" s="131">
        <f t="shared" si="30"/>
        <v>0</v>
      </c>
      <c r="AP59" s="131">
        <f t="shared" si="30"/>
        <v>1</v>
      </c>
      <c r="AQ59" s="131">
        <f t="shared" si="30"/>
        <v>0</v>
      </c>
      <c r="AR59" s="131">
        <f t="shared" si="30"/>
        <v>0</v>
      </c>
      <c r="AS59" s="131">
        <f t="shared" si="30"/>
        <v>1.75</v>
      </c>
      <c r="AT59" s="131">
        <f t="shared" si="30"/>
        <v>0</v>
      </c>
      <c r="AU59" s="131">
        <f t="shared" si="30"/>
        <v>0</v>
      </c>
      <c r="AV59" s="131">
        <f t="shared" si="30"/>
        <v>0.5</v>
      </c>
      <c r="AW59" s="131">
        <f t="shared" si="30"/>
        <v>0</v>
      </c>
      <c r="AX59" s="131">
        <f t="shared" si="30"/>
        <v>0</v>
      </c>
      <c r="AY59" s="131">
        <f t="shared" si="30"/>
        <v>0.5</v>
      </c>
      <c r="AZ59" s="131">
        <f t="shared" si="30"/>
        <v>0</v>
      </c>
      <c r="BA59" s="131">
        <f t="shared" si="30"/>
        <v>0</v>
      </c>
      <c r="BB59" s="131">
        <f t="shared" si="30"/>
        <v>1</v>
      </c>
      <c r="BC59" s="131">
        <f t="shared" si="30"/>
        <v>0</v>
      </c>
      <c r="BD59" s="131">
        <f t="shared" si="30"/>
        <v>0</v>
      </c>
      <c r="BE59" s="131">
        <f t="shared" si="30"/>
        <v>1</v>
      </c>
      <c r="BF59" s="131">
        <f t="shared" si="30"/>
        <v>0</v>
      </c>
      <c r="BG59" s="131">
        <f t="shared" si="30"/>
        <v>0</v>
      </c>
      <c r="BH59" s="131">
        <f t="shared" si="30"/>
        <v>1</v>
      </c>
      <c r="BI59" s="131">
        <f t="shared" si="30"/>
        <v>0</v>
      </c>
      <c r="BJ59" s="131">
        <f t="shared" si="30"/>
        <v>0</v>
      </c>
      <c r="BK59" s="131">
        <f t="shared" si="30"/>
        <v>1</v>
      </c>
      <c r="BL59" s="131">
        <f t="shared" si="30"/>
        <v>0</v>
      </c>
      <c r="BM59" s="131">
        <f t="shared" si="30"/>
        <v>0</v>
      </c>
      <c r="BN59" s="131">
        <f t="shared" si="30"/>
        <v>1</v>
      </c>
      <c r="BO59" s="131">
        <f t="shared" ref="BO59:CZ59" si="31">BO60</f>
        <v>0</v>
      </c>
      <c r="BP59" s="131">
        <f t="shared" si="31"/>
        <v>0</v>
      </c>
      <c r="BQ59" s="131">
        <f t="shared" si="31"/>
        <v>0.5</v>
      </c>
      <c r="BR59" s="131">
        <f t="shared" si="31"/>
        <v>0</v>
      </c>
      <c r="BS59" s="131">
        <f t="shared" si="31"/>
        <v>0</v>
      </c>
      <c r="BT59" s="131">
        <f t="shared" si="31"/>
        <v>0</v>
      </c>
      <c r="BU59" s="131">
        <f t="shared" si="31"/>
        <v>0</v>
      </c>
      <c r="BV59" s="131">
        <f t="shared" si="31"/>
        <v>0</v>
      </c>
      <c r="BW59" s="131">
        <f t="shared" si="31"/>
        <v>0.5</v>
      </c>
      <c r="BX59" s="131">
        <f t="shared" si="31"/>
        <v>0</v>
      </c>
      <c r="BY59" s="131">
        <f t="shared" si="31"/>
        <v>0</v>
      </c>
      <c r="BZ59" s="131">
        <f t="shared" si="31"/>
        <v>0.5</v>
      </c>
      <c r="CA59" s="131">
        <f t="shared" si="31"/>
        <v>0</v>
      </c>
      <c r="CB59" s="131">
        <f t="shared" si="31"/>
        <v>0</v>
      </c>
      <c r="CC59" s="131">
        <f t="shared" si="31"/>
        <v>0</v>
      </c>
      <c r="CD59" s="131">
        <f t="shared" si="31"/>
        <v>0</v>
      </c>
      <c r="CE59" s="131">
        <f t="shared" si="31"/>
        <v>0</v>
      </c>
      <c r="CF59" s="131">
        <f t="shared" si="31"/>
        <v>0.5</v>
      </c>
      <c r="CG59" s="131">
        <f t="shared" si="31"/>
        <v>0</v>
      </c>
      <c r="CH59" s="131">
        <f t="shared" si="31"/>
        <v>0</v>
      </c>
      <c r="CI59" s="131">
        <f t="shared" si="31"/>
        <v>0.5</v>
      </c>
      <c r="CJ59" s="131">
        <f t="shared" si="31"/>
        <v>0</v>
      </c>
      <c r="CK59" s="131">
        <f t="shared" si="31"/>
        <v>0</v>
      </c>
      <c r="CL59" s="131">
        <f t="shared" si="31"/>
        <v>0</v>
      </c>
      <c r="CM59" s="131">
        <f t="shared" si="31"/>
        <v>0</v>
      </c>
      <c r="CN59" s="131">
        <f t="shared" si="31"/>
        <v>0</v>
      </c>
      <c r="CO59" s="131">
        <f t="shared" si="31"/>
        <v>1</v>
      </c>
      <c r="CP59" s="131">
        <f t="shared" si="31"/>
        <v>0</v>
      </c>
      <c r="CQ59" s="131">
        <f t="shared" si="31"/>
        <v>0</v>
      </c>
      <c r="CR59" s="131">
        <f t="shared" si="31"/>
        <v>0.5</v>
      </c>
      <c r="CS59" s="131">
        <f t="shared" si="31"/>
        <v>0</v>
      </c>
      <c r="CT59" s="131">
        <f t="shared" si="31"/>
        <v>0</v>
      </c>
      <c r="CU59" s="131">
        <f t="shared" si="31"/>
        <v>0</v>
      </c>
      <c r="CV59" s="131">
        <f t="shared" si="31"/>
        <v>0</v>
      </c>
      <c r="CW59" s="131">
        <f t="shared" si="31"/>
        <v>0</v>
      </c>
      <c r="CX59" s="131">
        <f t="shared" si="31"/>
        <v>0.5</v>
      </c>
      <c r="CY59" s="131">
        <f t="shared" si="31"/>
        <v>0</v>
      </c>
      <c r="CZ59" s="131">
        <f t="shared" si="31"/>
        <v>0</v>
      </c>
    </row>
    <row r="60" spans="1:104">
      <c r="A60" s="133" t="s">
        <v>1238</v>
      </c>
      <c r="B60" s="131">
        <v>2</v>
      </c>
      <c r="C60" s="131">
        <v>1.75</v>
      </c>
      <c r="D60" s="131"/>
      <c r="E60" s="131"/>
      <c r="F60" s="131">
        <v>1.5</v>
      </c>
      <c r="G60" s="131"/>
      <c r="H60" s="131"/>
      <c r="I60" s="131">
        <v>2</v>
      </c>
      <c r="J60" s="131"/>
      <c r="K60" s="131"/>
      <c r="L60" s="131">
        <v>2</v>
      </c>
      <c r="M60" s="131"/>
      <c r="N60" s="131"/>
      <c r="O60" s="131">
        <v>1.5</v>
      </c>
      <c r="P60" s="131"/>
      <c r="Q60" s="131"/>
      <c r="R60" s="131">
        <v>2</v>
      </c>
      <c r="S60" s="131"/>
      <c r="T60" s="131"/>
      <c r="U60" s="131">
        <v>1.25</v>
      </c>
      <c r="V60" s="131"/>
      <c r="W60" s="131"/>
      <c r="X60" s="131">
        <v>1.25</v>
      </c>
      <c r="Y60" s="131"/>
      <c r="Z60" s="131"/>
      <c r="AA60" s="131">
        <v>2</v>
      </c>
      <c r="AB60" s="131"/>
      <c r="AC60" s="131"/>
      <c r="AD60" s="131">
        <v>1.25</v>
      </c>
      <c r="AE60" s="131"/>
      <c r="AF60" s="131"/>
      <c r="AG60" s="131">
        <v>1.25</v>
      </c>
      <c r="AH60" s="131"/>
      <c r="AI60" s="131"/>
      <c r="AJ60" s="131">
        <v>1</v>
      </c>
      <c r="AK60" s="131"/>
      <c r="AL60" s="131"/>
      <c r="AM60" s="131">
        <v>0.5</v>
      </c>
      <c r="AN60" s="131"/>
      <c r="AO60" s="131"/>
      <c r="AP60" s="131">
        <v>1</v>
      </c>
      <c r="AQ60" s="131"/>
      <c r="AR60" s="131"/>
      <c r="AS60" s="131">
        <v>1.75</v>
      </c>
      <c r="AT60" s="131"/>
      <c r="AU60" s="131"/>
      <c r="AV60" s="131">
        <v>0.5</v>
      </c>
      <c r="AW60" s="131"/>
      <c r="AX60" s="131"/>
      <c r="AY60" s="131">
        <v>0.5</v>
      </c>
      <c r="AZ60" s="131"/>
      <c r="BA60" s="131"/>
      <c r="BB60" s="131">
        <v>1</v>
      </c>
      <c r="BC60" s="131"/>
      <c r="BD60" s="131"/>
      <c r="BE60" s="131">
        <v>1</v>
      </c>
      <c r="BF60" s="131"/>
      <c r="BG60" s="131"/>
      <c r="BH60" s="131">
        <v>1</v>
      </c>
      <c r="BI60" s="131"/>
      <c r="BJ60" s="131"/>
      <c r="BK60" s="131">
        <v>1</v>
      </c>
      <c r="BL60" s="131"/>
      <c r="BM60" s="131"/>
      <c r="BN60" s="131">
        <v>1</v>
      </c>
      <c r="BO60" s="131"/>
      <c r="BP60" s="131"/>
      <c r="BQ60" s="131">
        <v>0.5</v>
      </c>
      <c r="BR60" s="131"/>
      <c r="BS60" s="131"/>
      <c r="BT60" s="131">
        <v>0</v>
      </c>
      <c r="BU60" s="131"/>
      <c r="BV60" s="131"/>
      <c r="BW60" s="131">
        <v>0.5</v>
      </c>
      <c r="BX60" s="131"/>
      <c r="BY60" s="131"/>
      <c r="BZ60" s="131">
        <v>0.5</v>
      </c>
      <c r="CA60" s="131"/>
      <c r="CB60" s="131"/>
      <c r="CC60" s="131">
        <v>0</v>
      </c>
      <c r="CD60" s="131"/>
      <c r="CE60" s="131"/>
      <c r="CF60" s="131">
        <v>0.5</v>
      </c>
      <c r="CG60" s="131"/>
      <c r="CH60" s="131"/>
      <c r="CI60" s="131">
        <v>0.5</v>
      </c>
      <c r="CJ60" s="131"/>
      <c r="CK60" s="131"/>
      <c r="CL60" s="131">
        <v>0</v>
      </c>
      <c r="CM60" s="131"/>
      <c r="CN60" s="131"/>
      <c r="CO60" s="131">
        <v>1</v>
      </c>
      <c r="CP60" s="131"/>
      <c r="CQ60" s="131"/>
      <c r="CR60" s="131">
        <v>0.5</v>
      </c>
      <c r="CS60" s="131"/>
      <c r="CT60" s="131"/>
      <c r="CU60" s="131">
        <v>0</v>
      </c>
      <c r="CV60" s="131"/>
      <c r="CW60" s="131"/>
      <c r="CX60" s="131">
        <v>0.5</v>
      </c>
      <c r="CY60" s="131"/>
      <c r="CZ60" s="131"/>
    </row>
    <row r="61" spans="1:104" s="81" customFormat="1">
      <c r="A61" s="158" t="s">
        <v>1239</v>
      </c>
      <c r="B61" s="131">
        <f>SUM(B62:B65)</f>
        <v>6.5</v>
      </c>
      <c r="C61" s="131">
        <f t="shared" ref="C61:BN61" si="32">SUM(C62:C65)</f>
        <v>5</v>
      </c>
      <c r="D61" s="131">
        <f t="shared" si="32"/>
        <v>0</v>
      </c>
      <c r="E61" s="131">
        <f t="shared" si="32"/>
        <v>0</v>
      </c>
      <c r="F61" s="131">
        <f t="shared" si="32"/>
        <v>4.5</v>
      </c>
      <c r="G61" s="131">
        <f t="shared" si="32"/>
        <v>0.5</v>
      </c>
      <c r="H61" s="131">
        <f t="shared" si="32"/>
        <v>0.5</v>
      </c>
      <c r="I61" s="131">
        <f t="shared" si="32"/>
        <v>5</v>
      </c>
      <c r="J61" s="131">
        <f t="shared" si="32"/>
        <v>0.5</v>
      </c>
      <c r="K61" s="131">
        <f t="shared" si="32"/>
        <v>0.5</v>
      </c>
      <c r="L61" s="131">
        <f t="shared" si="32"/>
        <v>6</v>
      </c>
      <c r="M61" s="131">
        <f t="shared" si="32"/>
        <v>0.5</v>
      </c>
      <c r="N61" s="131">
        <f t="shared" si="32"/>
        <v>0.5</v>
      </c>
      <c r="O61" s="131">
        <f t="shared" si="32"/>
        <v>5.5</v>
      </c>
      <c r="P61" s="131">
        <f t="shared" si="32"/>
        <v>0.5</v>
      </c>
      <c r="Q61" s="131">
        <f t="shared" si="32"/>
        <v>0.5</v>
      </c>
      <c r="R61" s="131">
        <f t="shared" si="32"/>
        <v>5</v>
      </c>
      <c r="S61" s="131">
        <f t="shared" si="32"/>
        <v>0.5</v>
      </c>
      <c r="T61" s="131">
        <f t="shared" si="32"/>
        <v>0.5</v>
      </c>
      <c r="U61" s="131">
        <f t="shared" si="32"/>
        <v>3.5</v>
      </c>
      <c r="V61" s="131">
        <f t="shared" si="32"/>
        <v>0.5</v>
      </c>
      <c r="W61" s="131">
        <f t="shared" si="32"/>
        <v>0.5</v>
      </c>
      <c r="X61" s="131">
        <f t="shared" si="32"/>
        <v>4.5</v>
      </c>
      <c r="Y61" s="131">
        <f t="shared" si="32"/>
        <v>0</v>
      </c>
      <c r="Z61" s="131">
        <f t="shared" si="32"/>
        <v>0</v>
      </c>
      <c r="AA61" s="131">
        <f t="shared" si="32"/>
        <v>5</v>
      </c>
      <c r="AB61" s="131">
        <f t="shared" si="32"/>
        <v>0</v>
      </c>
      <c r="AC61" s="131">
        <f t="shared" si="32"/>
        <v>0</v>
      </c>
      <c r="AD61" s="131">
        <f t="shared" si="32"/>
        <v>3.5</v>
      </c>
      <c r="AE61" s="131">
        <f t="shared" si="32"/>
        <v>0</v>
      </c>
      <c r="AF61" s="131">
        <f t="shared" si="32"/>
        <v>0</v>
      </c>
      <c r="AG61" s="131">
        <f t="shared" si="32"/>
        <v>6</v>
      </c>
      <c r="AH61" s="131">
        <f t="shared" si="32"/>
        <v>0</v>
      </c>
      <c r="AI61" s="131">
        <f t="shared" si="32"/>
        <v>0</v>
      </c>
      <c r="AJ61" s="131">
        <f t="shared" si="32"/>
        <v>1</v>
      </c>
      <c r="AK61" s="131">
        <f t="shared" si="32"/>
        <v>0</v>
      </c>
      <c r="AL61" s="131">
        <f t="shared" si="32"/>
        <v>0</v>
      </c>
      <c r="AM61" s="131">
        <f t="shared" si="32"/>
        <v>4</v>
      </c>
      <c r="AN61" s="131">
        <f t="shared" si="32"/>
        <v>0</v>
      </c>
      <c r="AO61" s="131">
        <f t="shared" si="32"/>
        <v>0</v>
      </c>
      <c r="AP61" s="131">
        <f t="shared" si="32"/>
        <v>3</v>
      </c>
      <c r="AQ61" s="131">
        <f t="shared" si="32"/>
        <v>0</v>
      </c>
      <c r="AR61" s="131">
        <f t="shared" si="32"/>
        <v>0</v>
      </c>
      <c r="AS61" s="131">
        <f t="shared" si="32"/>
        <v>2</v>
      </c>
      <c r="AT61" s="131">
        <f t="shared" si="32"/>
        <v>0</v>
      </c>
      <c r="AU61" s="131">
        <f t="shared" si="32"/>
        <v>0</v>
      </c>
      <c r="AV61" s="131">
        <f t="shared" si="32"/>
        <v>3.5</v>
      </c>
      <c r="AW61" s="131">
        <f t="shared" si="32"/>
        <v>0</v>
      </c>
      <c r="AX61" s="131">
        <f t="shared" si="32"/>
        <v>0</v>
      </c>
      <c r="AY61" s="131">
        <f t="shared" si="32"/>
        <v>5</v>
      </c>
      <c r="AZ61" s="131">
        <f t="shared" si="32"/>
        <v>0</v>
      </c>
      <c r="BA61" s="131">
        <f t="shared" si="32"/>
        <v>0</v>
      </c>
      <c r="BB61" s="131">
        <f t="shared" si="32"/>
        <v>4</v>
      </c>
      <c r="BC61" s="131">
        <f t="shared" si="32"/>
        <v>0</v>
      </c>
      <c r="BD61" s="131">
        <f t="shared" si="32"/>
        <v>0</v>
      </c>
      <c r="BE61" s="131">
        <f t="shared" si="32"/>
        <v>3.5</v>
      </c>
      <c r="BF61" s="131">
        <f t="shared" si="32"/>
        <v>0</v>
      </c>
      <c r="BG61" s="131">
        <f t="shared" si="32"/>
        <v>0</v>
      </c>
      <c r="BH61" s="131">
        <f t="shared" si="32"/>
        <v>3</v>
      </c>
      <c r="BI61" s="131">
        <f t="shared" si="32"/>
        <v>0</v>
      </c>
      <c r="BJ61" s="131">
        <f t="shared" si="32"/>
        <v>0</v>
      </c>
      <c r="BK61" s="131">
        <f t="shared" si="32"/>
        <v>3.5</v>
      </c>
      <c r="BL61" s="131">
        <f t="shared" si="32"/>
        <v>0</v>
      </c>
      <c r="BM61" s="131">
        <f t="shared" si="32"/>
        <v>0</v>
      </c>
      <c r="BN61" s="131">
        <f t="shared" si="32"/>
        <v>3.5</v>
      </c>
      <c r="BO61" s="131">
        <f t="shared" ref="BO61:CX61" si="33">SUM(BO62:BO65)</f>
        <v>0</v>
      </c>
      <c r="BP61" s="131">
        <f t="shared" si="33"/>
        <v>0</v>
      </c>
      <c r="BQ61" s="131">
        <f t="shared" si="33"/>
        <v>5.5</v>
      </c>
      <c r="BR61" s="131">
        <f t="shared" si="33"/>
        <v>0</v>
      </c>
      <c r="BS61" s="131">
        <f t="shared" si="33"/>
        <v>0</v>
      </c>
      <c r="BT61" s="131">
        <f t="shared" si="33"/>
        <v>1.5</v>
      </c>
      <c r="BU61" s="131">
        <f t="shared" si="33"/>
        <v>0</v>
      </c>
      <c r="BV61" s="131">
        <f t="shared" si="33"/>
        <v>0</v>
      </c>
      <c r="BW61" s="131">
        <f t="shared" si="33"/>
        <v>3.5</v>
      </c>
      <c r="BX61" s="131">
        <f t="shared" si="33"/>
        <v>0</v>
      </c>
      <c r="BY61" s="131">
        <f t="shared" si="33"/>
        <v>0</v>
      </c>
      <c r="BZ61" s="131">
        <f t="shared" si="33"/>
        <v>4.5</v>
      </c>
      <c r="CA61" s="131">
        <f t="shared" si="33"/>
        <v>0</v>
      </c>
      <c r="CB61" s="131">
        <f t="shared" si="33"/>
        <v>0</v>
      </c>
      <c r="CC61" s="131">
        <f t="shared" si="33"/>
        <v>2</v>
      </c>
      <c r="CD61" s="131">
        <f t="shared" si="33"/>
        <v>0</v>
      </c>
      <c r="CE61" s="131">
        <f t="shared" si="33"/>
        <v>0</v>
      </c>
      <c r="CF61" s="131">
        <f t="shared" si="33"/>
        <v>4.5</v>
      </c>
      <c r="CG61" s="131">
        <f t="shared" si="33"/>
        <v>0</v>
      </c>
      <c r="CH61" s="131">
        <f t="shared" si="33"/>
        <v>0</v>
      </c>
      <c r="CI61" s="131">
        <f t="shared" si="33"/>
        <v>1</v>
      </c>
      <c r="CJ61" s="131">
        <f t="shared" si="33"/>
        <v>0</v>
      </c>
      <c r="CK61" s="131">
        <f t="shared" si="33"/>
        <v>0</v>
      </c>
      <c r="CL61" s="131">
        <f t="shared" si="33"/>
        <v>3</v>
      </c>
      <c r="CM61" s="131">
        <f t="shared" si="33"/>
        <v>0</v>
      </c>
      <c r="CN61" s="131">
        <f t="shared" si="33"/>
        <v>0</v>
      </c>
      <c r="CO61" s="131">
        <f t="shared" si="33"/>
        <v>1</v>
      </c>
      <c r="CP61" s="131">
        <f t="shared" si="33"/>
        <v>0</v>
      </c>
      <c r="CQ61" s="131">
        <f t="shared" si="33"/>
        <v>0</v>
      </c>
      <c r="CR61" s="131">
        <f t="shared" si="33"/>
        <v>1</v>
      </c>
      <c r="CS61" s="131">
        <f t="shared" si="33"/>
        <v>0</v>
      </c>
      <c r="CT61" s="131">
        <f t="shared" si="33"/>
        <v>0</v>
      </c>
      <c r="CU61" s="131">
        <f t="shared" si="33"/>
        <v>1</v>
      </c>
      <c r="CV61" s="131">
        <f t="shared" si="33"/>
        <v>0</v>
      </c>
      <c r="CW61" s="131">
        <f t="shared" si="33"/>
        <v>0</v>
      </c>
      <c r="CX61" s="131">
        <f t="shared" si="33"/>
        <v>1</v>
      </c>
      <c r="CY61" s="132"/>
      <c r="CZ61" s="132"/>
    </row>
    <row r="62" spans="1:104">
      <c r="A62" s="133" t="s">
        <v>1240</v>
      </c>
      <c r="B62" s="149">
        <v>2</v>
      </c>
      <c r="C62" s="135">
        <v>1.5</v>
      </c>
      <c r="D62" s="135" t="s">
        <v>1241</v>
      </c>
      <c r="E62" s="137" t="s">
        <v>1242</v>
      </c>
      <c r="F62" s="135">
        <v>1</v>
      </c>
      <c r="G62" s="173" t="s">
        <v>1243</v>
      </c>
      <c r="H62" s="154" t="s">
        <v>1244</v>
      </c>
      <c r="I62" s="135">
        <v>1.5</v>
      </c>
      <c r="J62" s="135" t="s">
        <v>1245</v>
      </c>
      <c r="K62" s="137" t="s">
        <v>1246</v>
      </c>
      <c r="L62" s="135">
        <v>1.5</v>
      </c>
      <c r="M62" s="173" t="s">
        <v>1247</v>
      </c>
      <c r="N62" s="137" t="s">
        <v>1248</v>
      </c>
      <c r="O62" s="135">
        <v>1</v>
      </c>
      <c r="P62" s="173" t="s">
        <v>1249</v>
      </c>
      <c r="Q62" s="135" t="s">
        <v>816</v>
      </c>
      <c r="R62" s="135">
        <v>1</v>
      </c>
      <c r="S62" s="173" t="s">
        <v>1250</v>
      </c>
      <c r="T62" s="135" t="s">
        <v>818</v>
      </c>
      <c r="U62" s="135">
        <v>2</v>
      </c>
      <c r="V62" s="135" t="s">
        <v>884</v>
      </c>
      <c r="W62" s="135"/>
      <c r="X62" s="135">
        <v>1</v>
      </c>
      <c r="Y62" s="173" t="s">
        <v>1251</v>
      </c>
      <c r="Z62" s="137" t="s">
        <v>1252</v>
      </c>
      <c r="AA62" s="135">
        <v>2</v>
      </c>
      <c r="AB62" s="135" t="s">
        <v>1617</v>
      </c>
      <c r="AC62" s="137" t="s">
        <v>1061</v>
      </c>
      <c r="AD62" s="135">
        <v>0</v>
      </c>
      <c r="AE62" s="141" t="s">
        <v>869</v>
      </c>
      <c r="AF62" s="141" t="s">
        <v>869</v>
      </c>
      <c r="AG62" s="135">
        <v>2</v>
      </c>
      <c r="AH62" s="135" t="s">
        <v>1618</v>
      </c>
      <c r="AI62" s="135" t="s">
        <v>828</v>
      </c>
      <c r="AJ62" s="135">
        <v>0</v>
      </c>
      <c r="AK62" s="141" t="s">
        <v>869</v>
      </c>
      <c r="AL62" s="141" t="s">
        <v>869</v>
      </c>
      <c r="AM62" s="135">
        <v>1.5</v>
      </c>
      <c r="AN62" s="135" t="s">
        <v>1619</v>
      </c>
      <c r="AO62" s="137" t="s">
        <v>1620</v>
      </c>
      <c r="AP62" s="135">
        <v>0</v>
      </c>
      <c r="AQ62" s="141" t="s">
        <v>869</v>
      </c>
      <c r="AR62" s="141" t="s">
        <v>869</v>
      </c>
      <c r="AS62" s="135">
        <v>1</v>
      </c>
      <c r="AT62" s="135" t="s">
        <v>1621</v>
      </c>
      <c r="AU62" s="135" t="s">
        <v>836</v>
      </c>
      <c r="AV62" s="135">
        <v>0</v>
      </c>
      <c r="AW62" s="141" t="s">
        <v>869</v>
      </c>
      <c r="AX62" s="141" t="s">
        <v>869</v>
      </c>
      <c r="AY62" s="135">
        <v>1</v>
      </c>
      <c r="AZ62" s="173" t="s">
        <v>1622</v>
      </c>
      <c r="BA62" s="137" t="s">
        <v>1623</v>
      </c>
      <c r="BB62" s="135">
        <v>2</v>
      </c>
      <c r="BC62" s="135" t="s">
        <v>884</v>
      </c>
      <c r="BD62" s="135"/>
      <c r="BE62" s="135">
        <v>1</v>
      </c>
      <c r="BF62" s="135" t="s">
        <v>1624</v>
      </c>
      <c r="BG62" s="135" t="s">
        <v>808</v>
      </c>
      <c r="BH62" s="135">
        <v>0.5</v>
      </c>
      <c r="BI62" s="173" t="s">
        <v>1625</v>
      </c>
      <c r="BJ62" s="135" t="s">
        <v>845</v>
      </c>
      <c r="BK62" s="135">
        <v>1.5</v>
      </c>
      <c r="BL62" s="135" t="s">
        <v>1626</v>
      </c>
      <c r="BM62" s="138" t="s">
        <v>1627</v>
      </c>
      <c r="BN62" s="135">
        <v>0.5</v>
      </c>
      <c r="BO62" s="135" t="s">
        <v>1628</v>
      </c>
      <c r="BP62" s="140" t="s">
        <v>1629</v>
      </c>
      <c r="BQ62" s="135">
        <v>1</v>
      </c>
      <c r="BR62" s="173" t="s">
        <v>1630</v>
      </c>
      <c r="BS62" s="135" t="s">
        <v>850</v>
      </c>
      <c r="BT62" s="135">
        <v>0</v>
      </c>
      <c r="BU62" s="141" t="s">
        <v>869</v>
      </c>
      <c r="BV62" s="141" t="s">
        <v>869</v>
      </c>
      <c r="BW62" s="135">
        <v>0</v>
      </c>
      <c r="BX62" s="141" t="s">
        <v>869</v>
      </c>
      <c r="BY62" s="141" t="s">
        <v>869</v>
      </c>
      <c r="BZ62" s="135">
        <v>0</v>
      </c>
      <c r="CA62" s="141" t="s">
        <v>869</v>
      </c>
      <c r="CB62" s="141" t="s">
        <v>869</v>
      </c>
      <c r="CC62" s="135">
        <v>0</v>
      </c>
      <c r="CD62" s="141" t="s">
        <v>869</v>
      </c>
      <c r="CE62" s="141" t="s">
        <v>869</v>
      </c>
      <c r="CF62" s="135">
        <v>1.5</v>
      </c>
      <c r="CG62" s="135" t="s">
        <v>884</v>
      </c>
      <c r="CH62" s="135"/>
      <c r="CI62" s="135">
        <v>0</v>
      </c>
      <c r="CJ62" s="141" t="s">
        <v>869</v>
      </c>
      <c r="CK62" s="141" t="s">
        <v>869</v>
      </c>
      <c r="CL62" s="135">
        <v>0</v>
      </c>
      <c r="CM62" s="141" t="s">
        <v>869</v>
      </c>
      <c r="CN62" s="141" t="s">
        <v>869</v>
      </c>
      <c r="CO62" s="135">
        <v>0</v>
      </c>
      <c r="CP62" s="141" t="s">
        <v>869</v>
      </c>
      <c r="CQ62" s="141" t="s">
        <v>869</v>
      </c>
      <c r="CR62" s="135">
        <v>0</v>
      </c>
      <c r="CS62" s="141" t="s">
        <v>869</v>
      </c>
      <c r="CT62" s="141" t="s">
        <v>869</v>
      </c>
      <c r="CU62" s="135">
        <v>0</v>
      </c>
      <c r="CV62" s="141" t="s">
        <v>869</v>
      </c>
      <c r="CW62" s="141" t="s">
        <v>869</v>
      </c>
      <c r="CX62" s="135">
        <v>0</v>
      </c>
      <c r="CY62" s="141" t="s">
        <v>869</v>
      </c>
      <c r="CZ62" s="141" t="s">
        <v>869</v>
      </c>
    </row>
    <row r="63" spans="1:104" ht="16.5">
      <c r="A63" s="133" t="s">
        <v>1631</v>
      </c>
      <c r="B63" s="134">
        <v>2</v>
      </c>
      <c r="C63" s="135">
        <v>1</v>
      </c>
      <c r="D63" s="189" t="s">
        <v>1632</v>
      </c>
      <c r="E63" s="140" t="s">
        <v>1633</v>
      </c>
      <c r="F63" s="135">
        <v>1</v>
      </c>
      <c r="G63" s="136" t="s">
        <v>1634</v>
      </c>
      <c r="H63" s="76" t="s">
        <v>1635</v>
      </c>
      <c r="I63" s="135">
        <v>2</v>
      </c>
      <c r="J63" s="136" t="s">
        <v>1636</v>
      </c>
      <c r="K63" s="76" t="s">
        <v>1637</v>
      </c>
      <c r="L63" s="135">
        <v>2</v>
      </c>
      <c r="M63" s="136" t="s">
        <v>1638</v>
      </c>
      <c r="N63" s="76" t="s">
        <v>279</v>
      </c>
      <c r="O63" s="135">
        <v>2</v>
      </c>
      <c r="P63" s="152" t="s">
        <v>1639</v>
      </c>
      <c r="Q63" s="140" t="s">
        <v>1640</v>
      </c>
      <c r="R63" s="135">
        <v>2</v>
      </c>
      <c r="S63" s="189" t="s">
        <v>1641</v>
      </c>
      <c r="T63" s="76" t="s">
        <v>1642</v>
      </c>
      <c r="U63" s="135">
        <v>1</v>
      </c>
      <c r="V63" s="136" t="s">
        <v>1643</v>
      </c>
      <c r="W63" s="136" t="s">
        <v>1644</v>
      </c>
      <c r="X63" s="135">
        <v>1</v>
      </c>
      <c r="Y63" s="136" t="s">
        <v>1645</v>
      </c>
      <c r="Z63" s="76" t="s">
        <v>1252</v>
      </c>
      <c r="AA63" s="135">
        <v>2</v>
      </c>
      <c r="AB63" s="136" t="s">
        <v>1646</v>
      </c>
      <c r="AC63" t="s">
        <v>824</v>
      </c>
      <c r="AD63" s="135">
        <v>1</v>
      </c>
      <c r="AE63" s="189" t="s">
        <v>1647</v>
      </c>
      <c r="AG63" s="135">
        <v>2</v>
      </c>
      <c r="AH63" s="136" t="s">
        <v>1648</v>
      </c>
      <c r="AI63" s="76" t="s">
        <v>1649</v>
      </c>
      <c r="AJ63" s="135">
        <v>0</v>
      </c>
      <c r="AK63" s="141" t="s">
        <v>869</v>
      </c>
      <c r="AL63" s="141" t="s">
        <v>869</v>
      </c>
      <c r="AM63" s="135">
        <v>2</v>
      </c>
      <c r="AN63" t="s">
        <v>1650</v>
      </c>
      <c r="AO63" s="76" t="s">
        <v>1651</v>
      </c>
      <c r="AP63" s="135">
        <v>2</v>
      </c>
      <c r="AQ63" s="136" t="s">
        <v>1652</v>
      </c>
      <c r="AR63" s="76" t="s">
        <v>1653</v>
      </c>
      <c r="AS63" s="135">
        <v>0</v>
      </c>
      <c r="AT63" s="141" t="s">
        <v>869</v>
      </c>
      <c r="AU63" s="141" t="s">
        <v>869</v>
      </c>
      <c r="AV63" s="135">
        <v>1</v>
      </c>
      <c r="AW63" s="136" t="s">
        <v>1654</v>
      </c>
      <c r="AX63" s="76" t="s">
        <v>1655</v>
      </c>
      <c r="AY63" s="135">
        <v>2</v>
      </c>
      <c r="AZ63" s="136" t="s">
        <v>1656</v>
      </c>
      <c r="BA63" s="140" t="s">
        <v>1657</v>
      </c>
      <c r="BB63" s="135">
        <v>1</v>
      </c>
      <c r="BC63" t="s">
        <v>1658</v>
      </c>
      <c r="BD63" s="140" t="s">
        <v>1659</v>
      </c>
      <c r="BE63" s="135">
        <v>1</v>
      </c>
      <c r="BF63" s="136" t="s">
        <v>1660</v>
      </c>
      <c r="BG63" s="76" t="s">
        <v>1661</v>
      </c>
      <c r="BH63" s="135">
        <v>1</v>
      </c>
      <c r="BI63" s="152" t="s">
        <v>1662</v>
      </c>
      <c r="BJ63" s="76" t="s">
        <v>1663</v>
      </c>
      <c r="BK63" s="135">
        <v>2</v>
      </c>
      <c r="BL63" s="136" t="s">
        <v>1664</v>
      </c>
      <c r="BM63" s="76" t="s">
        <v>1665</v>
      </c>
      <c r="BN63" s="135">
        <v>2</v>
      </c>
      <c r="BO63" s="136" t="s">
        <v>1666</v>
      </c>
      <c r="BP63" s="143" t="s">
        <v>879</v>
      </c>
      <c r="BQ63" s="135">
        <v>2</v>
      </c>
      <c r="BR63" s="136" t="s">
        <v>1667</v>
      </c>
      <c r="BS63" s="76" t="s">
        <v>1668</v>
      </c>
      <c r="BT63" s="135">
        <v>1</v>
      </c>
      <c r="BU63" s="152" t="s">
        <v>1669</v>
      </c>
      <c r="BV63" s="152" t="s">
        <v>852</v>
      </c>
      <c r="BW63" s="135">
        <v>1</v>
      </c>
      <c r="BX63" s="136" t="s">
        <v>1670</v>
      </c>
      <c r="BY63" s="136" t="s">
        <v>878</v>
      </c>
      <c r="BZ63" s="135">
        <v>2</v>
      </c>
      <c r="CA63" s="189" t="s">
        <v>1671</v>
      </c>
      <c r="CB63" s="76" t="s">
        <v>1672</v>
      </c>
      <c r="CC63" s="135">
        <v>2</v>
      </c>
      <c r="CD63" s="190" t="s">
        <v>1673</v>
      </c>
      <c r="CF63" s="135">
        <v>2</v>
      </c>
      <c r="CG63" s="136" t="s">
        <v>1674</v>
      </c>
      <c r="CH63" s="138" t="s">
        <v>1675</v>
      </c>
      <c r="CI63" s="135">
        <v>0</v>
      </c>
      <c r="CJ63" s="141" t="s">
        <v>869</v>
      </c>
      <c r="CK63" s="141" t="s">
        <v>869</v>
      </c>
      <c r="CL63" s="135">
        <v>1</v>
      </c>
      <c r="CM63" t="s">
        <v>1676</v>
      </c>
      <c r="CN63" s="76" t="s">
        <v>1059</v>
      </c>
      <c r="CO63" s="135">
        <v>1</v>
      </c>
      <c r="CP63" s="189" t="s">
        <v>1677</v>
      </c>
      <c r="CQ63" s="140" t="s">
        <v>1678</v>
      </c>
      <c r="CR63" s="135">
        <v>0</v>
      </c>
      <c r="CS63" s="141" t="s">
        <v>869</v>
      </c>
      <c r="CT63" s="141" t="s">
        <v>869</v>
      </c>
      <c r="CU63" s="135">
        <v>0</v>
      </c>
      <c r="CV63" s="141" t="s">
        <v>869</v>
      </c>
      <c r="CW63" s="141" t="s">
        <v>869</v>
      </c>
      <c r="CX63" s="135">
        <v>1</v>
      </c>
      <c r="CY63" s="136" t="s">
        <v>1679</v>
      </c>
      <c r="CZ63" s="76" t="s">
        <v>1680</v>
      </c>
    </row>
    <row r="64" spans="1:104" ht="16.5">
      <c r="A64" s="133" t="s">
        <v>1681</v>
      </c>
      <c r="B64" s="134">
        <v>0.5</v>
      </c>
      <c r="C64" s="135">
        <v>0.5</v>
      </c>
      <c r="D64" s="189"/>
      <c r="E64" s="140"/>
      <c r="F64" s="135">
        <v>0.5</v>
      </c>
      <c r="G64" s="135">
        <v>0.5</v>
      </c>
      <c r="H64" s="135">
        <v>0.5</v>
      </c>
      <c r="I64" s="135">
        <v>0.5</v>
      </c>
      <c r="J64" s="135">
        <v>0.5</v>
      </c>
      <c r="K64" s="135">
        <v>0.5</v>
      </c>
      <c r="L64" s="135">
        <v>0.5</v>
      </c>
      <c r="M64" s="135">
        <v>0.5</v>
      </c>
      <c r="N64" s="135">
        <v>0.5</v>
      </c>
      <c r="O64" s="135">
        <v>0.5</v>
      </c>
      <c r="P64" s="135">
        <v>0.5</v>
      </c>
      <c r="Q64" s="135">
        <v>0.5</v>
      </c>
      <c r="R64" s="135">
        <v>0.5</v>
      </c>
      <c r="S64" s="135">
        <v>0.5</v>
      </c>
      <c r="T64" s="135">
        <v>0.5</v>
      </c>
      <c r="U64" s="135">
        <v>0.5</v>
      </c>
      <c r="V64" s="135">
        <v>0.5</v>
      </c>
      <c r="W64" s="135">
        <v>0.5</v>
      </c>
      <c r="X64" s="135">
        <v>0.5</v>
      </c>
      <c r="Y64" s="136"/>
      <c r="Z64" s="76"/>
      <c r="AA64" s="135">
        <v>0</v>
      </c>
      <c r="AB64" s="136"/>
      <c r="AD64" s="135">
        <v>0.5</v>
      </c>
      <c r="AE64" s="189"/>
      <c r="AG64" s="135">
        <v>0.5</v>
      </c>
      <c r="AH64" s="136"/>
      <c r="AI64" s="76"/>
      <c r="AJ64" s="135">
        <v>0</v>
      </c>
      <c r="AK64" s="141"/>
      <c r="AL64" s="141"/>
      <c r="AM64" s="135">
        <v>0.5</v>
      </c>
      <c r="AO64" s="76"/>
      <c r="AP64" s="135">
        <v>0</v>
      </c>
      <c r="AQ64" s="136"/>
      <c r="AR64" s="76"/>
      <c r="AS64" s="135">
        <v>0</v>
      </c>
      <c r="AT64" s="141"/>
      <c r="AU64" s="141"/>
      <c r="AV64" s="135">
        <v>0.5</v>
      </c>
      <c r="AW64" s="136"/>
      <c r="AX64" s="76"/>
      <c r="AY64" s="135">
        <v>0.5</v>
      </c>
      <c r="AZ64" s="136"/>
      <c r="BA64" s="140"/>
      <c r="BB64" s="135">
        <v>0</v>
      </c>
      <c r="BD64" s="140"/>
      <c r="BE64" s="135">
        <v>0.5</v>
      </c>
      <c r="BF64" s="136"/>
      <c r="BG64" s="76"/>
      <c r="BH64" s="135">
        <v>0.5</v>
      </c>
      <c r="BI64" s="152"/>
      <c r="BJ64" s="76"/>
      <c r="BK64" s="135">
        <v>0</v>
      </c>
      <c r="BL64" s="136"/>
      <c r="BM64" s="76"/>
      <c r="BN64" s="135">
        <v>0</v>
      </c>
      <c r="BO64" s="136"/>
      <c r="BP64" s="154"/>
      <c r="BQ64" s="135">
        <v>0.5</v>
      </c>
      <c r="BR64" s="136"/>
      <c r="BS64" s="76"/>
      <c r="BT64" s="135">
        <v>0.5</v>
      </c>
      <c r="BU64" s="152"/>
      <c r="BV64" s="152"/>
      <c r="BW64" s="135">
        <v>0.5</v>
      </c>
      <c r="BX64" s="136"/>
      <c r="BY64" s="136"/>
      <c r="BZ64" s="135">
        <v>0.5</v>
      </c>
      <c r="CA64" s="189"/>
      <c r="CB64" s="76"/>
      <c r="CC64" s="135">
        <v>0</v>
      </c>
      <c r="CD64" s="190"/>
      <c r="CF64" s="135">
        <v>0</v>
      </c>
      <c r="CG64" s="136"/>
      <c r="CH64" s="138"/>
      <c r="CI64" s="135">
        <v>0.5</v>
      </c>
      <c r="CJ64" s="141"/>
      <c r="CK64" s="141"/>
      <c r="CL64" s="135">
        <v>0</v>
      </c>
      <c r="CN64" s="76"/>
      <c r="CO64" s="135">
        <v>0</v>
      </c>
      <c r="CP64" s="189"/>
      <c r="CQ64" s="140"/>
      <c r="CR64" s="135">
        <v>0</v>
      </c>
      <c r="CS64" s="141"/>
      <c r="CT64" s="141"/>
      <c r="CU64" s="135">
        <v>0</v>
      </c>
      <c r="CV64" s="141"/>
      <c r="CW64" s="141"/>
      <c r="CX64" s="135">
        <v>0</v>
      </c>
      <c r="CY64" s="136"/>
      <c r="CZ64" s="76"/>
    </row>
    <row r="65" spans="1:104" ht="16.5">
      <c r="A65" s="133" t="s">
        <v>1682</v>
      </c>
      <c r="B65" s="134">
        <v>2</v>
      </c>
      <c r="C65" s="135">
        <v>2</v>
      </c>
      <c r="D65" s="136" t="s">
        <v>1683</v>
      </c>
      <c r="E65" s="76" t="s">
        <v>1684</v>
      </c>
      <c r="F65" s="135">
        <v>2</v>
      </c>
      <c r="G65" s="136" t="s">
        <v>1685</v>
      </c>
      <c r="H65" s="76" t="s">
        <v>1686</v>
      </c>
      <c r="I65" s="135">
        <v>1</v>
      </c>
      <c r="J65" s="136" t="s">
        <v>1687</v>
      </c>
      <c r="K65" s="76" t="s">
        <v>1688</v>
      </c>
      <c r="L65" s="135">
        <v>2</v>
      </c>
      <c r="M65" s="136" t="s">
        <v>1689</v>
      </c>
      <c r="N65" s="140" t="s">
        <v>1690</v>
      </c>
      <c r="O65" s="135">
        <v>2</v>
      </c>
      <c r="P65" s="152" t="s">
        <v>1301</v>
      </c>
      <c r="Q65" t="s">
        <v>816</v>
      </c>
      <c r="R65" s="135">
        <v>1.5</v>
      </c>
      <c r="S65" s="136" t="s">
        <v>1302</v>
      </c>
      <c r="T65" s="76" t="s">
        <v>1303</v>
      </c>
      <c r="U65" s="135">
        <v>0</v>
      </c>
      <c r="V65" s="141" t="s">
        <v>869</v>
      </c>
      <c r="W65" s="141" t="s">
        <v>869</v>
      </c>
      <c r="X65" s="135">
        <v>2</v>
      </c>
      <c r="Y65" s="136" t="s">
        <v>1304</v>
      </c>
      <c r="Z65" s="140" t="s">
        <v>1305</v>
      </c>
      <c r="AA65" s="135">
        <v>1</v>
      </c>
      <c r="AB65" s="136" t="s">
        <v>1306</v>
      </c>
      <c r="AC65" s="76" t="s">
        <v>1307</v>
      </c>
      <c r="AD65" s="135">
        <v>2</v>
      </c>
      <c r="AE65" s="136" t="s">
        <v>1308</v>
      </c>
      <c r="AF65" s="140" t="s">
        <v>874</v>
      </c>
      <c r="AG65" s="135">
        <v>1.5</v>
      </c>
      <c r="AH65" s="136" t="s">
        <v>1309</v>
      </c>
      <c r="AI65" s="76" t="s">
        <v>1310</v>
      </c>
      <c r="AJ65" s="135">
        <v>1</v>
      </c>
      <c r="AK65" s="136" t="s">
        <v>1311</v>
      </c>
      <c r="AL65" s="76" t="s">
        <v>1312</v>
      </c>
      <c r="AM65" s="135">
        <v>0</v>
      </c>
      <c r="AN65" s="141" t="s">
        <v>869</v>
      </c>
      <c r="AO65" s="141" t="s">
        <v>869</v>
      </c>
      <c r="AP65" s="135">
        <v>1</v>
      </c>
      <c r="AQ65" s="136" t="s">
        <v>1313</v>
      </c>
      <c r="AR65" t="s">
        <v>1314</v>
      </c>
      <c r="AS65" s="135">
        <v>1</v>
      </c>
      <c r="AT65" s="136" t="s">
        <v>1315</v>
      </c>
      <c r="AU65" s="76" t="s">
        <v>736</v>
      </c>
      <c r="AV65" s="135">
        <v>2</v>
      </c>
      <c r="AW65" s="136" t="s">
        <v>1316</v>
      </c>
      <c r="AX65" s="140" t="s">
        <v>1317</v>
      </c>
      <c r="AY65" s="135">
        <v>1.5</v>
      </c>
      <c r="AZ65" s="136" t="s">
        <v>1318</v>
      </c>
      <c r="BA65" s="138" t="s">
        <v>1319</v>
      </c>
      <c r="BB65" s="135">
        <v>1</v>
      </c>
      <c r="BC65" s="136" t="s">
        <v>1320</v>
      </c>
      <c r="BE65" s="135">
        <v>1</v>
      </c>
      <c r="BF65" s="136" t="s">
        <v>1321</v>
      </c>
      <c r="BG65" s="140" t="s">
        <v>1322</v>
      </c>
      <c r="BH65" s="135">
        <v>1</v>
      </c>
      <c r="BI65" s="189" t="s">
        <v>1323</v>
      </c>
      <c r="BJ65" s="76" t="s">
        <v>1324</v>
      </c>
      <c r="BK65" s="135">
        <v>0</v>
      </c>
      <c r="BL65" s="141" t="s">
        <v>869</v>
      </c>
      <c r="BM65" s="141" t="s">
        <v>869</v>
      </c>
      <c r="BN65" s="135">
        <v>1</v>
      </c>
      <c r="BO65" s="136" t="s">
        <v>1325</v>
      </c>
      <c r="BP65" s="140" t="s">
        <v>1326</v>
      </c>
      <c r="BQ65" s="135">
        <v>2</v>
      </c>
      <c r="BR65" s="136" t="s">
        <v>1327</v>
      </c>
      <c r="BS65" s="76" t="s">
        <v>1328</v>
      </c>
      <c r="BT65" s="135">
        <v>0</v>
      </c>
      <c r="BU65" s="141" t="s">
        <v>869</v>
      </c>
      <c r="BV65" s="141" t="s">
        <v>869</v>
      </c>
      <c r="BW65" s="135">
        <v>2</v>
      </c>
      <c r="BX65" s="136" t="s">
        <v>1329</v>
      </c>
      <c r="BY65" t="s">
        <v>878</v>
      </c>
      <c r="BZ65" s="135">
        <v>2</v>
      </c>
      <c r="CA65" s="136" t="s">
        <v>1330</v>
      </c>
      <c r="CB65" t="s">
        <v>881</v>
      </c>
      <c r="CC65" s="135">
        <v>0</v>
      </c>
      <c r="CD65" s="141" t="s">
        <v>869</v>
      </c>
      <c r="CE65" s="141" t="s">
        <v>869</v>
      </c>
      <c r="CF65" s="135">
        <v>1</v>
      </c>
      <c r="CG65" s="136" t="s">
        <v>1331</v>
      </c>
      <c r="CH65" s="76" t="s">
        <v>1332</v>
      </c>
      <c r="CI65" s="135">
        <v>0.5</v>
      </c>
      <c r="CJ65" s="136" t="s">
        <v>1333</v>
      </c>
      <c r="CK65" s="140" t="s">
        <v>288</v>
      </c>
      <c r="CL65" s="135">
        <v>2</v>
      </c>
      <c r="CM65" s="136" t="s">
        <v>1334</v>
      </c>
      <c r="CN65" s="76" t="s">
        <v>1059</v>
      </c>
      <c r="CO65" s="135">
        <v>0</v>
      </c>
      <c r="CP65" s="141" t="s">
        <v>869</v>
      </c>
      <c r="CQ65" s="141" t="s">
        <v>869</v>
      </c>
      <c r="CR65" s="135">
        <v>1</v>
      </c>
      <c r="CS65" s="189" t="s">
        <v>1335</v>
      </c>
      <c r="CT65" s="76" t="s">
        <v>1336</v>
      </c>
      <c r="CU65" s="135">
        <v>1</v>
      </c>
      <c r="CV65" s="136" t="s">
        <v>1337</v>
      </c>
      <c r="CW65" s="138" t="s">
        <v>1338</v>
      </c>
      <c r="CX65" s="135">
        <v>0</v>
      </c>
      <c r="CY65" s="141" t="s">
        <v>869</v>
      </c>
      <c r="CZ65" s="141" t="s">
        <v>869</v>
      </c>
    </row>
    <row r="66" spans="1:104">
      <c r="A66" s="157" t="s">
        <v>121</v>
      </c>
      <c r="B66" s="129">
        <f>B67+B72+B75+B81</f>
        <v>28</v>
      </c>
      <c r="C66" s="129">
        <f t="shared" ref="C66:BN66" si="34">C67+C72+C75+C81</f>
        <v>19</v>
      </c>
      <c r="D66" s="129">
        <f t="shared" si="34"/>
        <v>0</v>
      </c>
      <c r="E66" s="129">
        <f t="shared" si="34"/>
        <v>0</v>
      </c>
      <c r="F66" s="129">
        <f t="shared" si="34"/>
        <v>19.5</v>
      </c>
      <c r="G66" s="129">
        <f t="shared" si="34"/>
        <v>0</v>
      </c>
      <c r="H66" s="129">
        <f t="shared" si="34"/>
        <v>0</v>
      </c>
      <c r="I66" s="129">
        <f t="shared" si="34"/>
        <v>16</v>
      </c>
      <c r="J66" s="129">
        <f t="shared" si="34"/>
        <v>0</v>
      </c>
      <c r="K66" s="129">
        <f t="shared" si="34"/>
        <v>0</v>
      </c>
      <c r="L66" s="129">
        <f t="shared" si="34"/>
        <v>13</v>
      </c>
      <c r="M66" s="129">
        <f t="shared" si="34"/>
        <v>0</v>
      </c>
      <c r="N66" s="129">
        <f t="shared" si="34"/>
        <v>0</v>
      </c>
      <c r="O66" s="129">
        <f t="shared" si="34"/>
        <v>11.25</v>
      </c>
      <c r="P66" s="129">
        <f t="shared" si="34"/>
        <v>0</v>
      </c>
      <c r="Q66" s="129">
        <f t="shared" si="34"/>
        <v>0</v>
      </c>
      <c r="R66" s="129">
        <f t="shared" si="34"/>
        <v>11</v>
      </c>
      <c r="S66" s="129">
        <f t="shared" si="34"/>
        <v>0</v>
      </c>
      <c r="T66" s="129">
        <f t="shared" si="34"/>
        <v>0</v>
      </c>
      <c r="U66" s="129">
        <f t="shared" si="34"/>
        <v>14</v>
      </c>
      <c r="V66" s="129">
        <f t="shared" si="34"/>
        <v>0</v>
      </c>
      <c r="W66" s="129">
        <f t="shared" si="34"/>
        <v>0</v>
      </c>
      <c r="X66" s="129">
        <f t="shared" si="34"/>
        <v>15</v>
      </c>
      <c r="Y66" s="129">
        <f t="shared" si="34"/>
        <v>0</v>
      </c>
      <c r="Z66" s="129">
        <f t="shared" si="34"/>
        <v>0</v>
      </c>
      <c r="AA66" s="129">
        <f t="shared" si="34"/>
        <v>10.5</v>
      </c>
      <c r="AB66" s="129">
        <f t="shared" si="34"/>
        <v>0</v>
      </c>
      <c r="AC66" s="129">
        <f t="shared" si="34"/>
        <v>0</v>
      </c>
      <c r="AD66" s="129">
        <f t="shared" si="34"/>
        <v>15.5</v>
      </c>
      <c r="AE66" s="129">
        <f t="shared" si="34"/>
        <v>0</v>
      </c>
      <c r="AF66" s="129">
        <f t="shared" si="34"/>
        <v>0</v>
      </c>
      <c r="AG66" s="129">
        <f t="shared" si="34"/>
        <v>12.5</v>
      </c>
      <c r="AH66" s="129">
        <f t="shared" si="34"/>
        <v>0</v>
      </c>
      <c r="AI66" s="129">
        <f t="shared" si="34"/>
        <v>0</v>
      </c>
      <c r="AJ66" s="129">
        <f t="shared" si="34"/>
        <v>12</v>
      </c>
      <c r="AK66" s="129">
        <f t="shared" si="34"/>
        <v>0</v>
      </c>
      <c r="AL66" s="129">
        <f t="shared" si="34"/>
        <v>0</v>
      </c>
      <c r="AM66" s="129">
        <f t="shared" si="34"/>
        <v>10</v>
      </c>
      <c r="AN66" s="129">
        <f t="shared" si="34"/>
        <v>0</v>
      </c>
      <c r="AO66" s="129">
        <f t="shared" si="34"/>
        <v>0</v>
      </c>
      <c r="AP66" s="129">
        <f t="shared" si="34"/>
        <v>13</v>
      </c>
      <c r="AQ66" s="129">
        <f t="shared" si="34"/>
        <v>0</v>
      </c>
      <c r="AR66" s="129">
        <f t="shared" si="34"/>
        <v>0</v>
      </c>
      <c r="AS66" s="129">
        <f t="shared" si="34"/>
        <v>5.5</v>
      </c>
      <c r="AT66" s="129">
        <f t="shared" si="34"/>
        <v>0</v>
      </c>
      <c r="AU66" s="129">
        <f t="shared" si="34"/>
        <v>0</v>
      </c>
      <c r="AV66" s="129">
        <f t="shared" si="34"/>
        <v>17.5</v>
      </c>
      <c r="AW66" s="129">
        <f t="shared" si="34"/>
        <v>0</v>
      </c>
      <c r="AX66" s="129">
        <f t="shared" si="34"/>
        <v>0</v>
      </c>
      <c r="AY66" s="129">
        <f t="shared" si="34"/>
        <v>11.5</v>
      </c>
      <c r="AZ66" s="129">
        <f t="shared" si="34"/>
        <v>0</v>
      </c>
      <c r="BA66" s="129">
        <f t="shared" si="34"/>
        <v>0</v>
      </c>
      <c r="BB66" s="129">
        <f t="shared" si="34"/>
        <v>7.5</v>
      </c>
      <c r="BC66" s="129">
        <f t="shared" si="34"/>
        <v>0</v>
      </c>
      <c r="BD66" s="129">
        <f t="shared" si="34"/>
        <v>0</v>
      </c>
      <c r="BE66" s="129">
        <f t="shared" si="34"/>
        <v>9</v>
      </c>
      <c r="BF66" s="129">
        <f t="shared" si="34"/>
        <v>0</v>
      </c>
      <c r="BG66" s="129">
        <f t="shared" si="34"/>
        <v>0</v>
      </c>
      <c r="BH66" s="129">
        <f t="shared" si="34"/>
        <v>5.25</v>
      </c>
      <c r="BI66" s="129">
        <f t="shared" si="34"/>
        <v>0</v>
      </c>
      <c r="BJ66" s="129">
        <f t="shared" si="34"/>
        <v>0</v>
      </c>
      <c r="BK66" s="129">
        <f t="shared" si="34"/>
        <v>7.5</v>
      </c>
      <c r="BL66" s="129">
        <f t="shared" si="34"/>
        <v>0</v>
      </c>
      <c r="BM66" s="129">
        <f t="shared" si="34"/>
        <v>0</v>
      </c>
      <c r="BN66" s="129">
        <f t="shared" si="34"/>
        <v>5.5</v>
      </c>
      <c r="BO66" s="129">
        <f t="shared" ref="BO66:CX66" si="35">BO67+BO72+BO75+BO81</f>
        <v>0</v>
      </c>
      <c r="BP66" s="129">
        <f t="shared" si="35"/>
        <v>0</v>
      </c>
      <c r="BQ66" s="129">
        <f t="shared" si="35"/>
        <v>9.5</v>
      </c>
      <c r="BR66" s="129">
        <f t="shared" si="35"/>
        <v>0</v>
      </c>
      <c r="BS66" s="129">
        <f t="shared" si="35"/>
        <v>0</v>
      </c>
      <c r="BT66" s="129">
        <f t="shared" si="35"/>
        <v>12</v>
      </c>
      <c r="BU66" s="129">
        <f t="shared" si="35"/>
        <v>0</v>
      </c>
      <c r="BV66" s="129">
        <f t="shared" si="35"/>
        <v>0</v>
      </c>
      <c r="BW66" s="129">
        <f t="shared" si="35"/>
        <v>8</v>
      </c>
      <c r="BX66" s="129">
        <f t="shared" si="35"/>
        <v>0</v>
      </c>
      <c r="BY66" s="129">
        <f t="shared" si="35"/>
        <v>0</v>
      </c>
      <c r="BZ66" s="129">
        <f t="shared" si="35"/>
        <v>4.75</v>
      </c>
      <c r="CA66" s="129">
        <f t="shared" si="35"/>
        <v>0</v>
      </c>
      <c r="CB66" s="129">
        <f t="shared" si="35"/>
        <v>0</v>
      </c>
      <c r="CC66" s="129">
        <f t="shared" si="35"/>
        <v>8.5</v>
      </c>
      <c r="CD66" s="129">
        <f t="shared" si="35"/>
        <v>0</v>
      </c>
      <c r="CE66" s="129">
        <f t="shared" si="35"/>
        <v>0</v>
      </c>
      <c r="CF66" s="129">
        <f t="shared" si="35"/>
        <v>8</v>
      </c>
      <c r="CG66" s="129">
        <f t="shared" si="35"/>
        <v>0</v>
      </c>
      <c r="CH66" s="129">
        <f t="shared" si="35"/>
        <v>0</v>
      </c>
      <c r="CI66" s="129">
        <f t="shared" si="35"/>
        <v>9</v>
      </c>
      <c r="CJ66" s="129">
        <f t="shared" si="35"/>
        <v>0</v>
      </c>
      <c r="CK66" s="129">
        <f t="shared" si="35"/>
        <v>0</v>
      </c>
      <c r="CL66" s="129">
        <f t="shared" si="35"/>
        <v>5</v>
      </c>
      <c r="CM66" s="129">
        <f t="shared" si="35"/>
        <v>0</v>
      </c>
      <c r="CN66" s="129">
        <f t="shared" si="35"/>
        <v>0</v>
      </c>
      <c r="CO66" s="129">
        <f t="shared" si="35"/>
        <v>8</v>
      </c>
      <c r="CP66" s="129">
        <f t="shared" si="35"/>
        <v>0</v>
      </c>
      <c r="CQ66" s="129">
        <f t="shared" si="35"/>
        <v>0</v>
      </c>
      <c r="CR66" s="129">
        <f t="shared" si="35"/>
        <v>9</v>
      </c>
      <c r="CS66" s="129">
        <f t="shared" si="35"/>
        <v>0</v>
      </c>
      <c r="CT66" s="129">
        <f t="shared" si="35"/>
        <v>0</v>
      </c>
      <c r="CU66" s="129">
        <f t="shared" si="35"/>
        <v>4.5</v>
      </c>
      <c r="CV66" s="129">
        <f t="shared" si="35"/>
        <v>0</v>
      </c>
      <c r="CW66" s="129">
        <f t="shared" si="35"/>
        <v>0</v>
      </c>
      <c r="CX66" s="129">
        <f t="shared" si="35"/>
        <v>3.75</v>
      </c>
      <c r="CY66" s="129"/>
      <c r="CZ66" s="129"/>
    </row>
    <row r="67" spans="1:104" s="81" customFormat="1">
      <c r="A67" s="158" t="s">
        <v>1339</v>
      </c>
      <c r="B67" s="131">
        <f>SUM(B68:B71)</f>
        <v>9</v>
      </c>
      <c r="C67" s="131">
        <f t="shared" ref="C67:BN67" si="36">SUM(C68:C71)</f>
        <v>8</v>
      </c>
      <c r="D67" s="131">
        <f t="shared" si="36"/>
        <v>0</v>
      </c>
      <c r="E67" s="131">
        <f t="shared" si="36"/>
        <v>0</v>
      </c>
      <c r="F67" s="131">
        <f t="shared" si="36"/>
        <v>5.5</v>
      </c>
      <c r="G67" s="131">
        <f t="shared" si="36"/>
        <v>0</v>
      </c>
      <c r="H67" s="131">
        <f t="shared" si="36"/>
        <v>0</v>
      </c>
      <c r="I67" s="131">
        <f t="shared" si="36"/>
        <v>5.5</v>
      </c>
      <c r="J67" s="131">
        <f t="shared" si="36"/>
        <v>0</v>
      </c>
      <c r="K67" s="131">
        <f t="shared" si="36"/>
        <v>0</v>
      </c>
      <c r="L67" s="131">
        <f t="shared" si="36"/>
        <v>6</v>
      </c>
      <c r="M67" s="131">
        <f t="shared" si="36"/>
        <v>0</v>
      </c>
      <c r="N67" s="131">
        <f t="shared" si="36"/>
        <v>0</v>
      </c>
      <c r="O67" s="131">
        <f t="shared" si="36"/>
        <v>5</v>
      </c>
      <c r="P67" s="131">
        <f t="shared" si="36"/>
        <v>0</v>
      </c>
      <c r="Q67" s="131">
        <f t="shared" si="36"/>
        <v>0</v>
      </c>
      <c r="R67" s="131">
        <f t="shared" si="36"/>
        <v>6.5</v>
      </c>
      <c r="S67" s="131">
        <f t="shared" si="36"/>
        <v>0</v>
      </c>
      <c r="T67" s="131">
        <f t="shared" si="36"/>
        <v>0</v>
      </c>
      <c r="U67" s="131">
        <f t="shared" si="36"/>
        <v>5.5</v>
      </c>
      <c r="V67" s="131">
        <f t="shared" si="36"/>
        <v>0</v>
      </c>
      <c r="W67" s="131">
        <f t="shared" si="36"/>
        <v>0</v>
      </c>
      <c r="X67" s="131">
        <f t="shared" si="36"/>
        <v>4</v>
      </c>
      <c r="Y67" s="131">
        <f t="shared" si="36"/>
        <v>0</v>
      </c>
      <c r="Z67" s="131">
        <f t="shared" si="36"/>
        <v>0</v>
      </c>
      <c r="AA67" s="131">
        <f t="shared" si="36"/>
        <v>5.5</v>
      </c>
      <c r="AB67" s="131">
        <f t="shared" si="36"/>
        <v>0</v>
      </c>
      <c r="AC67" s="131">
        <f t="shared" si="36"/>
        <v>0</v>
      </c>
      <c r="AD67" s="131">
        <f t="shared" si="36"/>
        <v>6.5</v>
      </c>
      <c r="AE67" s="131">
        <f t="shared" si="36"/>
        <v>0</v>
      </c>
      <c r="AF67" s="131">
        <f t="shared" si="36"/>
        <v>0</v>
      </c>
      <c r="AG67" s="131">
        <f t="shared" si="36"/>
        <v>6.5</v>
      </c>
      <c r="AH67" s="131">
        <f t="shared" si="36"/>
        <v>0</v>
      </c>
      <c r="AI67" s="131">
        <f t="shared" si="36"/>
        <v>0</v>
      </c>
      <c r="AJ67" s="131">
        <f t="shared" si="36"/>
        <v>4</v>
      </c>
      <c r="AK67" s="131">
        <f t="shared" si="36"/>
        <v>0</v>
      </c>
      <c r="AL67" s="131">
        <f t="shared" si="36"/>
        <v>0</v>
      </c>
      <c r="AM67" s="131">
        <f t="shared" si="36"/>
        <v>4</v>
      </c>
      <c r="AN67" s="131">
        <f t="shared" si="36"/>
        <v>0</v>
      </c>
      <c r="AO67" s="131">
        <f t="shared" si="36"/>
        <v>0</v>
      </c>
      <c r="AP67" s="131">
        <f t="shared" si="36"/>
        <v>6.5</v>
      </c>
      <c r="AQ67" s="131">
        <f t="shared" si="36"/>
        <v>0</v>
      </c>
      <c r="AR67" s="131">
        <f t="shared" si="36"/>
        <v>0</v>
      </c>
      <c r="AS67" s="131">
        <f t="shared" si="36"/>
        <v>2.5</v>
      </c>
      <c r="AT67" s="131">
        <f t="shared" si="36"/>
        <v>0</v>
      </c>
      <c r="AU67" s="131">
        <f t="shared" si="36"/>
        <v>0</v>
      </c>
      <c r="AV67" s="131">
        <f t="shared" si="36"/>
        <v>6.5</v>
      </c>
      <c r="AW67" s="131">
        <f t="shared" si="36"/>
        <v>0</v>
      </c>
      <c r="AX67" s="131">
        <f t="shared" si="36"/>
        <v>0</v>
      </c>
      <c r="AY67" s="131">
        <f t="shared" si="36"/>
        <v>6</v>
      </c>
      <c r="AZ67" s="131">
        <f t="shared" si="36"/>
        <v>0</v>
      </c>
      <c r="BA67" s="131">
        <f t="shared" si="36"/>
        <v>0</v>
      </c>
      <c r="BB67" s="131">
        <f t="shared" si="36"/>
        <v>3.5</v>
      </c>
      <c r="BC67" s="131">
        <f t="shared" si="36"/>
        <v>0</v>
      </c>
      <c r="BD67" s="131">
        <f t="shared" si="36"/>
        <v>0</v>
      </c>
      <c r="BE67" s="131">
        <f t="shared" si="36"/>
        <v>4</v>
      </c>
      <c r="BF67" s="131">
        <f t="shared" si="36"/>
        <v>0</v>
      </c>
      <c r="BG67" s="131">
        <f t="shared" si="36"/>
        <v>0</v>
      </c>
      <c r="BH67" s="131">
        <f t="shared" si="36"/>
        <v>2.5</v>
      </c>
      <c r="BI67" s="131">
        <f t="shared" si="36"/>
        <v>0</v>
      </c>
      <c r="BJ67" s="131">
        <f t="shared" si="36"/>
        <v>0</v>
      </c>
      <c r="BK67" s="131">
        <f t="shared" si="36"/>
        <v>0.5</v>
      </c>
      <c r="BL67" s="131">
        <f t="shared" si="36"/>
        <v>0</v>
      </c>
      <c r="BM67" s="131">
        <f t="shared" si="36"/>
        <v>0</v>
      </c>
      <c r="BN67" s="131">
        <f t="shared" si="36"/>
        <v>3.5</v>
      </c>
      <c r="BO67" s="131">
        <f t="shared" ref="BO67:CX67" si="37">SUM(BO68:BO71)</f>
        <v>0</v>
      </c>
      <c r="BP67" s="131">
        <f t="shared" si="37"/>
        <v>0</v>
      </c>
      <c r="BQ67" s="131">
        <f t="shared" si="37"/>
        <v>4</v>
      </c>
      <c r="BR67" s="131">
        <f t="shared" si="37"/>
        <v>0</v>
      </c>
      <c r="BS67" s="131">
        <f t="shared" si="37"/>
        <v>0</v>
      </c>
      <c r="BT67" s="131">
        <f t="shared" si="37"/>
        <v>5.5</v>
      </c>
      <c r="BU67" s="131">
        <f t="shared" si="37"/>
        <v>0</v>
      </c>
      <c r="BV67" s="131">
        <f t="shared" si="37"/>
        <v>0</v>
      </c>
      <c r="BW67" s="131">
        <f t="shared" si="37"/>
        <v>5</v>
      </c>
      <c r="BX67" s="131">
        <f t="shared" si="37"/>
        <v>0</v>
      </c>
      <c r="BY67" s="131">
        <f t="shared" si="37"/>
        <v>0</v>
      </c>
      <c r="BZ67" s="131">
        <f t="shared" si="37"/>
        <v>3</v>
      </c>
      <c r="CA67" s="131">
        <f t="shared" si="37"/>
        <v>0</v>
      </c>
      <c r="CB67" s="131">
        <f t="shared" si="37"/>
        <v>0</v>
      </c>
      <c r="CC67" s="131">
        <f t="shared" si="37"/>
        <v>4</v>
      </c>
      <c r="CD67" s="131">
        <f t="shared" si="37"/>
        <v>0</v>
      </c>
      <c r="CE67" s="131">
        <f t="shared" si="37"/>
        <v>0</v>
      </c>
      <c r="CF67" s="131">
        <f t="shared" si="37"/>
        <v>4.5</v>
      </c>
      <c r="CG67" s="131">
        <f t="shared" si="37"/>
        <v>0</v>
      </c>
      <c r="CH67" s="131">
        <f t="shared" si="37"/>
        <v>0</v>
      </c>
      <c r="CI67" s="131">
        <f t="shared" si="37"/>
        <v>5.5</v>
      </c>
      <c r="CJ67" s="131">
        <f t="shared" si="37"/>
        <v>0</v>
      </c>
      <c r="CK67" s="131">
        <f t="shared" si="37"/>
        <v>0</v>
      </c>
      <c r="CL67" s="131">
        <f t="shared" si="37"/>
        <v>2</v>
      </c>
      <c r="CM67" s="131">
        <f t="shared" si="37"/>
        <v>0</v>
      </c>
      <c r="CN67" s="131">
        <f t="shared" si="37"/>
        <v>0</v>
      </c>
      <c r="CO67" s="131">
        <f t="shared" si="37"/>
        <v>3</v>
      </c>
      <c r="CP67" s="131">
        <f t="shared" si="37"/>
        <v>0</v>
      </c>
      <c r="CQ67" s="131">
        <f t="shared" si="37"/>
        <v>0</v>
      </c>
      <c r="CR67" s="131">
        <f t="shared" si="37"/>
        <v>4.5</v>
      </c>
      <c r="CS67" s="131">
        <f t="shared" si="37"/>
        <v>0</v>
      </c>
      <c r="CT67" s="131">
        <f t="shared" si="37"/>
        <v>0</v>
      </c>
      <c r="CU67" s="131">
        <f t="shared" si="37"/>
        <v>1.5</v>
      </c>
      <c r="CV67" s="131">
        <f t="shared" si="37"/>
        <v>0</v>
      </c>
      <c r="CW67" s="131">
        <f t="shared" si="37"/>
        <v>0</v>
      </c>
      <c r="CX67" s="131">
        <f t="shared" si="37"/>
        <v>0.5</v>
      </c>
      <c r="CY67" s="131"/>
      <c r="CZ67" s="131"/>
    </row>
    <row r="68" spans="1:104">
      <c r="A68" s="133" t="s">
        <v>1340</v>
      </c>
      <c r="B68" s="134">
        <v>2</v>
      </c>
      <c r="C68" s="135">
        <v>1</v>
      </c>
      <c r="D68" s="135" t="s">
        <v>1341</v>
      </c>
      <c r="E68" s="137" t="s">
        <v>1342</v>
      </c>
      <c r="F68" s="135">
        <v>2</v>
      </c>
      <c r="G68" t="s">
        <v>1343</v>
      </c>
      <c r="H68" s="137" t="s">
        <v>1344</v>
      </c>
      <c r="I68" s="135">
        <v>1</v>
      </c>
      <c r="J68" s="146" t="s">
        <v>1345</v>
      </c>
      <c r="K68" s="137" t="s">
        <v>1346</v>
      </c>
      <c r="L68" s="135">
        <v>0</v>
      </c>
      <c r="M68" s="141" t="s">
        <v>869</v>
      </c>
      <c r="N68" s="141" t="s">
        <v>869</v>
      </c>
      <c r="O68" s="135">
        <v>1.5</v>
      </c>
      <c r="P68" s="168" t="s">
        <v>1347</v>
      </c>
      <c r="Q68" s="137" t="s">
        <v>1346</v>
      </c>
      <c r="R68" s="135">
        <v>1</v>
      </c>
      <c r="S68" s="146" t="s">
        <v>1348</v>
      </c>
      <c r="T68" s="140" t="s">
        <v>1349</v>
      </c>
      <c r="U68" s="135">
        <v>1.5</v>
      </c>
      <c r="V68" s="146" t="s">
        <v>1350</v>
      </c>
      <c r="W68" s="140" t="s">
        <v>1351</v>
      </c>
      <c r="X68" s="135">
        <v>0</v>
      </c>
      <c r="Y68" s="141" t="s">
        <v>869</v>
      </c>
      <c r="Z68" s="141" t="s">
        <v>869</v>
      </c>
      <c r="AA68" s="135">
        <v>1</v>
      </c>
      <c r="AB68" s="146" t="s">
        <v>1352</v>
      </c>
      <c r="AC68" s="137" t="s">
        <v>1346</v>
      </c>
      <c r="AD68" s="135">
        <v>1</v>
      </c>
      <c r="AE68" s="168" t="s">
        <v>1353</v>
      </c>
      <c r="AF68" s="137" t="s">
        <v>1354</v>
      </c>
      <c r="AG68" s="135">
        <v>1.5</v>
      </c>
      <c r="AH68" s="146" t="s">
        <v>1355</v>
      </c>
      <c r="AI68" s="137" t="s">
        <v>1346</v>
      </c>
      <c r="AJ68" s="135">
        <v>1.5</v>
      </c>
      <c r="AK68" s="146" t="s">
        <v>1356</v>
      </c>
      <c r="AL68" s="137" t="s">
        <v>1346</v>
      </c>
      <c r="AM68" s="135">
        <v>0</v>
      </c>
      <c r="AN68" s="141" t="s">
        <v>869</v>
      </c>
      <c r="AO68" s="141" t="s">
        <v>869</v>
      </c>
      <c r="AP68" s="135">
        <v>1</v>
      </c>
      <c r="AQ68" s="146" t="s">
        <v>1357</v>
      </c>
      <c r="AR68" s="135" t="s">
        <v>834</v>
      </c>
      <c r="AS68" s="135">
        <v>0</v>
      </c>
      <c r="AT68" s="141" t="s">
        <v>869</v>
      </c>
      <c r="AU68" s="141" t="s">
        <v>869</v>
      </c>
      <c r="AV68" s="135">
        <v>0</v>
      </c>
      <c r="AW68" s="141" t="s">
        <v>869</v>
      </c>
      <c r="AX68" s="141" t="s">
        <v>869</v>
      </c>
      <c r="AY68" s="135">
        <v>1</v>
      </c>
      <c r="AZ68" s="168" t="s">
        <v>1358</v>
      </c>
      <c r="BA68" s="137" t="s">
        <v>1346</v>
      </c>
      <c r="BB68" s="135">
        <v>0</v>
      </c>
      <c r="BC68" s="141" t="s">
        <v>869</v>
      </c>
      <c r="BD68" s="141" t="s">
        <v>869</v>
      </c>
      <c r="BE68" s="135">
        <v>1</v>
      </c>
      <c r="BF68" s="146" t="s">
        <v>1359</v>
      </c>
      <c r="BG68" s="137" t="s">
        <v>1360</v>
      </c>
      <c r="BH68" s="135">
        <v>0</v>
      </c>
      <c r="BI68" s="141" t="s">
        <v>869</v>
      </c>
      <c r="BJ68" s="141" t="s">
        <v>869</v>
      </c>
      <c r="BK68" s="135">
        <v>0</v>
      </c>
      <c r="BL68" s="141" t="s">
        <v>869</v>
      </c>
      <c r="BM68" s="141" t="s">
        <v>869</v>
      </c>
      <c r="BN68" s="135">
        <v>0</v>
      </c>
      <c r="BO68" s="141" t="s">
        <v>869</v>
      </c>
      <c r="BP68" s="141" t="s">
        <v>869</v>
      </c>
      <c r="BQ68" s="135">
        <v>0</v>
      </c>
      <c r="BR68" s="141" t="s">
        <v>869</v>
      </c>
      <c r="BS68" s="141" t="s">
        <v>869</v>
      </c>
      <c r="BT68" s="135">
        <v>1.5</v>
      </c>
      <c r="BU68" s="168" t="s">
        <v>1361</v>
      </c>
      <c r="BV68" s="137" t="s">
        <v>1346</v>
      </c>
      <c r="BW68" s="135">
        <v>0</v>
      </c>
      <c r="BX68" s="141" t="s">
        <v>869</v>
      </c>
      <c r="BY68" s="141" t="s">
        <v>869</v>
      </c>
      <c r="BZ68" s="135">
        <v>0</v>
      </c>
      <c r="CA68" s="141" t="s">
        <v>869</v>
      </c>
      <c r="CB68" s="141" t="s">
        <v>869</v>
      </c>
      <c r="CC68" s="135">
        <v>0.5</v>
      </c>
      <c r="CD68" s="168" t="s">
        <v>1362</v>
      </c>
      <c r="CE68" s="137" t="s">
        <v>1346</v>
      </c>
      <c r="CF68" s="135">
        <v>0</v>
      </c>
      <c r="CG68" s="141" t="s">
        <v>869</v>
      </c>
      <c r="CH68" s="141" t="s">
        <v>869</v>
      </c>
      <c r="CI68" s="135">
        <v>2</v>
      </c>
      <c r="CJ68" s="146" t="s">
        <v>1363</v>
      </c>
      <c r="CK68" s="137" t="s">
        <v>1364</v>
      </c>
      <c r="CL68" s="135">
        <v>1</v>
      </c>
      <c r="CM68" s="146" t="s">
        <v>1365</v>
      </c>
      <c r="CN68" s="140" t="s">
        <v>1351</v>
      </c>
      <c r="CO68" s="135">
        <v>0</v>
      </c>
      <c r="CP68" s="141" t="s">
        <v>869</v>
      </c>
      <c r="CQ68" s="141" t="s">
        <v>869</v>
      </c>
      <c r="CR68" s="135">
        <v>0</v>
      </c>
      <c r="CS68" s="141" t="s">
        <v>869</v>
      </c>
      <c r="CT68" s="141" t="s">
        <v>869</v>
      </c>
      <c r="CU68" s="135">
        <v>0</v>
      </c>
      <c r="CV68" s="141" t="s">
        <v>869</v>
      </c>
      <c r="CW68" s="141" t="s">
        <v>869</v>
      </c>
      <c r="CX68" s="135">
        <v>0</v>
      </c>
      <c r="CY68" s="141" t="s">
        <v>869</v>
      </c>
      <c r="CZ68" s="141" t="s">
        <v>869</v>
      </c>
    </row>
    <row r="69" spans="1:104">
      <c r="A69" s="133" t="s">
        <v>1366</v>
      </c>
      <c r="B69" s="134">
        <v>2</v>
      </c>
      <c r="C69" s="134">
        <v>2</v>
      </c>
      <c r="D69" s="134">
        <v>0</v>
      </c>
      <c r="E69" s="134">
        <v>0</v>
      </c>
      <c r="F69" s="134">
        <v>1.5</v>
      </c>
      <c r="G69" s="134">
        <v>0</v>
      </c>
      <c r="H69" s="134">
        <v>0</v>
      </c>
      <c r="I69" s="134">
        <v>1.5</v>
      </c>
      <c r="J69" s="134">
        <v>0</v>
      </c>
      <c r="K69" s="134">
        <v>0</v>
      </c>
      <c r="L69" s="134">
        <v>2</v>
      </c>
      <c r="M69" s="134">
        <v>0</v>
      </c>
      <c r="N69" s="134">
        <v>0</v>
      </c>
      <c r="O69" s="134">
        <v>1.5</v>
      </c>
      <c r="P69" s="134">
        <v>0</v>
      </c>
      <c r="Q69" s="134">
        <v>0</v>
      </c>
      <c r="R69" s="134">
        <v>1.5</v>
      </c>
      <c r="S69" s="134">
        <v>0</v>
      </c>
      <c r="T69" s="134">
        <v>0</v>
      </c>
      <c r="U69" s="134">
        <v>2</v>
      </c>
      <c r="V69" s="134">
        <v>0</v>
      </c>
      <c r="W69" s="134">
        <v>0</v>
      </c>
      <c r="X69" s="134">
        <v>2</v>
      </c>
      <c r="Y69" s="134">
        <v>0</v>
      </c>
      <c r="Z69" s="134">
        <v>0</v>
      </c>
      <c r="AA69" s="134">
        <v>1.5</v>
      </c>
      <c r="AB69" s="134">
        <v>0</v>
      </c>
      <c r="AC69" s="134">
        <v>0</v>
      </c>
      <c r="AD69" s="134">
        <v>1.5</v>
      </c>
      <c r="AE69" s="134">
        <v>0</v>
      </c>
      <c r="AF69" s="134">
        <v>0</v>
      </c>
      <c r="AG69" s="134">
        <v>2</v>
      </c>
      <c r="AH69" s="134">
        <v>0</v>
      </c>
      <c r="AI69" s="134">
        <v>0</v>
      </c>
      <c r="AJ69" s="134">
        <v>1.5</v>
      </c>
      <c r="AK69" s="134">
        <v>0</v>
      </c>
      <c r="AL69" s="134">
        <v>0</v>
      </c>
      <c r="AM69" s="134">
        <v>1</v>
      </c>
      <c r="AN69" s="134">
        <v>0</v>
      </c>
      <c r="AO69" s="134">
        <v>0</v>
      </c>
      <c r="AP69" s="134">
        <v>1.5</v>
      </c>
      <c r="AQ69" s="134">
        <v>0</v>
      </c>
      <c r="AR69" s="134">
        <v>0</v>
      </c>
      <c r="AS69" s="134">
        <v>0.5</v>
      </c>
      <c r="AT69" s="134">
        <v>0</v>
      </c>
      <c r="AU69" s="134">
        <v>0</v>
      </c>
      <c r="AV69" s="134">
        <v>1.5</v>
      </c>
      <c r="AW69" s="134">
        <v>0</v>
      </c>
      <c r="AX69" s="134">
        <v>0</v>
      </c>
      <c r="AY69" s="134">
        <v>2</v>
      </c>
      <c r="AZ69" s="134">
        <v>0</v>
      </c>
      <c r="BA69" s="134">
        <v>0</v>
      </c>
      <c r="BB69" s="134">
        <v>1.5</v>
      </c>
      <c r="BC69" s="134">
        <v>0</v>
      </c>
      <c r="BD69" s="134">
        <v>0</v>
      </c>
      <c r="BE69" s="134">
        <v>1</v>
      </c>
      <c r="BF69" s="134">
        <v>0</v>
      </c>
      <c r="BG69" s="134">
        <v>0</v>
      </c>
      <c r="BH69" s="134">
        <v>1.5</v>
      </c>
      <c r="BI69" s="134">
        <v>0</v>
      </c>
      <c r="BJ69" s="134">
        <v>0</v>
      </c>
      <c r="BK69" s="134">
        <v>0</v>
      </c>
      <c r="BL69" s="134">
        <v>0</v>
      </c>
      <c r="BM69" s="134">
        <v>0</v>
      </c>
      <c r="BN69" s="134">
        <v>1.5</v>
      </c>
      <c r="BO69" s="134">
        <v>0</v>
      </c>
      <c r="BP69" s="134">
        <v>0</v>
      </c>
      <c r="BQ69" s="134">
        <v>1</v>
      </c>
      <c r="BR69" s="134">
        <v>0</v>
      </c>
      <c r="BS69" s="134">
        <v>0</v>
      </c>
      <c r="BT69" s="134">
        <v>1</v>
      </c>
      <c r="BU69" s="134">
        <v>0</v>
      </c>
      <c r="BV69" s="134">
        <v>0</v>
      </c>
      <c r="BW69" s="134">
        <v>1</v>
      </c>
      <c r="BX69" s="134">
        <v>0</v>
      </c>
      <c r="BY69" s="134">
        <v>0</v>
      </c>
      <c r="BZ69" s="134">
        <v>1</v>
      </c>
      <c r="CA69" s="134">
        <v>0</v>
      </c>
      <c r="CB69" s="134">
        <v>0</v>
      </c>
      <c r="CC69" s="134">
        <v>1.5</v>
      </c>
      <c r="CD69" s="134">
        <v>0</v>
      </c>
      <c r="CE69" s="134">
        <v>0</v>
      </c>
      <c r="CF69" s="134">
        <v>1.5</v>
      </c>
      <c r="CG69" s="134">
        <v>0</v>
      </c>
      <c r="CH69" s="134">
        <v>0</v>
      </c>
      <c r="CI69" s="134">
        <v>0.5</v>
      </c>
      <c r="CJ69" s="134">
        <v>0</v>
      </c>
      <c r="CK69" s="134">
        <v>0</v>
      </c>
      <c r="CL69" s="134">
        <v>0.5</v>
      </c>
      <c r="CM69" s="134">
        <v>0</v>
      </c>
      <c r="CN69" s="134">
        <v>0</v>
      </c>
      <c r="CO69" s="134">
        <v>1</v>
      </c>
      <c r="CP69" s="134">
        <v>0</v>
      </c>
      <c r="CQ69" s="134">
        <v>0</v>
      </c>
      <c r="CR69" s="134">
        <v>1.5</v>
      </c>
      <c r="CS69" s="134">
        <v>0</v>
      </c>
      <c r="CT69" s="134">
        <v>0</v>
      </c>
      <c r="CU69" s="134">
        <v>0.5</v>
      </c>
      <c r="CV69" s="134">
        <v>0</v>
      </c>
      <c r="CW69" s="134">
        <v>0</v>
      </c>
      <c r="CX69" s="134">
        <v>0</v>
      </c>
      <c r="CY69" s="134">
        <v>0</v>
      </c>
      <c r="CZ69" s="134">
        <v>0</v>
      </c>
    </row>
    <row r="70" spans="1:104">
      <c r="A70" s="133" t="s">
        <v>1367</v>
      </c>
      <c r="B70" s="134">
        <v>4</v>
      </c>
      <c r="C70" s="135">
        <v>4</v>
      </c>
      <c r="D70" s="146" t="s">
        <v>1368</v>
      </c>
      <c r="E70" s="76" t="s">
        <v>1369</v>
      </c>
      <c r="F70" s="135">
        <v>1</v>
      </c>
      <c r="G70" s="135" t="s">
        <v>1370</v>
      </c>
      <c r="H70" s="76" t="s">
        <v>1369</v>
      </c>
      <c r="I70" s="135">
        <v>2</v>
      </c>
      <c r="J70" s="146" t="s">
        <v>1371</v>
      </c>
      <c r="K70" s="76" t="s">
        <v>1369</v>
      </c>
      <c r="L70" s="135">
        <v>4</v>
      </c>
      <c r="M70" s="135" t="s">
        <v>1372</v>
      </c>
      <c r="N70" s="76" t="s">
        <v>1369</v>
      </c>
      <c r="O70" s="135">
        <v>2</v>
      </c>
      <c r="P70" s="135" t="s">
        <v>1373</v>
      </c>
      <c r="Q70" s="76" t="s">
        <v>1369</v>
      </c>
      <c r="R70" s="135">
        <v>3</v>
      </c>
      <c r="S70" s="146" t="s">
        <v>1374</v>
      </c>
      <c r="T70" s="76" t="s">
        <v>1369</v>
      </c>
      <c r="U70" s="135">
        <v>1</v>
      </c>
      <c r="V70" s="135" t="s">
        <v>1375</v>
      </c>
      <c r="W70" s="76" t="s">
        <v>1369</v>
      </c>
      <c r="X70" s="135">
        <v>2</v>
      </c>
      <c r="Y70" s="146" t="s">
        <v>1376</v>
      </c>
      <c r="Z70" s="76" t="s">
        <v>1369</v>
      </c>
      <c r="AA70" s="135">
        <v>2</v>
      </c>
      <c r="AB70" s="146" t="s">
        <v>1377</v>
      </c>
      <c r="AC70" s="76" t="s">
        <v>1369</v>
      </c>
      <c r="AD70" s="135">
        <v>4</v>
      </c>
      <c r="AE70" s="135" t="s">
        <v>1378</v>
      </c>
      <c r="AF70" s="76" t="s">
        <v>1369</v>
      </c>
      <c r="AG70" s="135">
        <v>2</v>
      </c>
      <c r="AH70" s="146" t="s">
        <v>1379</v>
      </c>
      <c r="AI70" s="76" t="s">
        <v>1369</v>
      </c>
      <c r="AJ70" s="135">
        <v>1</v>
      </c>
      <c r="AK70" s="146" t="s">
        <v>1380</v>
      </c>
      <c r="AL70" s="76" t="s">
        <v>1369</v>
      </c>
      <c r="AM70" s="135">
        <v>2</v>
      </c>
      <c r="AN70" s="146" t="s">
        <v>1381</v>
      </c>
      <c r="AO70" s="76" t="s">
        <v>1369</v>
      </c>
      <c r="AP70" s="135">
        <v>4</v>
      </c>
      <c r="AQ70" s="146" t="s">
        <v>1382</v>
      </c>
      <c r="AR70" s="76" t="s">
        <v>1369</v>
      </c>
      <c r="AS70" s="135">
        <v>1</v>
      </c>
      <c r="AT70" s="135" t="s">
        <v>1383</v>
      </c>
      <c r="AU70" s="76" t="s">
        <v>1369</v>
      </c>
      <c r="AV70" s="135">
        <v>4</v>
      </c>
      <c r="AW70" s="168" t="s">
        <v>1384</v>
      </c>
      <c r="AX70" s="76" t="s">
        <v>1369</v>
      </c>
      <c r="AY70" s="135">
        <v>2</v>
      </c>
      <c r="AZ70" s="135" t="s">
        <v>1385</v>
      </c>
      <c r="BA70" s="76" t="s">
        <v>1369</v>
      </c>
      <c r="BB70" s="135">
        <v>1</v>
      </c>
      <c r="BC70" s="135" t="s">
        <v>1386</v>
      </c>
      <c r="BD70" s="76" t="s">
        <v>1369</v>
      </c>
      <c r="BE70" s="135">
        <v>1</v>
      </c>
      <c r="BF70" s="146" t="s">
        <v>1387</v>
      </c>
      <c r="BG70" s="76" t="s">
        <v>1369</v>
      </c>
      <c r="BH70" s="135">
        <v>1</v>
      </c>
      <c r="BI70" s="135" t="s">
        <v>1388</v>
      </c>
      <c r="BJ70" s="76" t="s">
        <v>1369</v>
      </c>
      <c r="BK70" s="135">
        <v>0.5</v>
      </c>
      <c r="BL70" s="135" t="s">
        <v>1389</v>
      </c>
      <c r="BM70" s="76" t="s">
        <v>1369</v>
      </c>
      <c r="BN70" s="135">
        <v>2</v>
      </c>
      <c r="BO70" s="135" t="s">
        <v>1390</v>
      </c>
      <c r="BP70" s="76" t="s">
        <v>1369</v>
      </c>
      <c r="BQ70" s="135">
        <v>2</v>
      </c>
      <c r="BR70" s="146" t="s">
        <v>1391</v>
      </c>
      <c r="BS70" s="76" t="s">
        <v>1369</v>
      </c>
      <c r="BT70" s="135">
        <v>2</v>
      </c>
      <c r="BU70" s="135" t="s">
        <v>1392</v>
      </c>
      <c r="BV70" s="76" t="s">
        <v>1369</v>
      </c>
      <c r="BW70" s="135">
        <v>4</v>
      </c>
      <c r="BX70" s="135" t="s">
        <v>1851</v>
      </c>
      <c r="BY70" s="76" t="s">
        <v>1369</v>
      </c>
      <c r="BZ70" s="135">
        <v>1</v>
      </c>
      <c r="CA70" s="146" t="s">
        <v>1852</v>
      </c>
      <c r="CB70" s="76" t="s">
        <v>1369</v>
      </c>
      <c r="CC70" s="135">
        <v>2</v>
      </c>
      <c r="CD70" s="146" t="s">
        <v>1853</v>
      </c>
      <c r="CE70" s="76" t="s">
        <v>1369</v>
      </c>
      <c r="CF70" s="135">
        <v>2</v>
      </c>
      <c r="CG70" s="135" t="s">
        <v>1854</v>
      </c>
      <c r="CH70" s="76" t="s">
        <v>1369</v>
      </c>
      <c r="CI70" s="135">
        <v>2</v>
      </c>
      <c r="CJ70" s="146" t="s">
        <v>1855</v>
      </c>
      <c r="CK70" s="76" t="s">
        <v>1369</v>
      </c>
      <c r="CL70" s="135">
        <v>0.5</v>
      </c>
      <c r="CM70" s="135" t="s">
        <v>1856</v>
      </c>
      <c r="CN70" s="76" t="s">
        <v>1369</v>
      </c>
      <c r="CO70" s="135">
        <v>2</v>
      </c>
      <c r="CP70" s="146" t="s">
        <v>1857</v>
      </c>
      <c r="CQ70" s="76" t="s">
        <v>1369</v>
      </c>
      <c r="CR70" s="135">
        <v>2</v>
      </c>
      <c r="CS70" s="146" t="s">
        <v>1858</v>
      </c>
      <c r="CT70" s="76" t="s">
        <v>1369</v>
      </c>
      <c r="CU70" s="135">
        <v>1</v>
      </c>
      <c r="CV70" s="146" t="s">
        <v>1859</v>
      </c>
      <c r="CW70" s="76" t="s">
        <v>1369</v>
      </c>
      <c r="CX70" s="135">
        <v>0.5</v>
      </c>
      <c r="CY70" s="135" t="s">
        <v>1860</v>
      </c>
      <c r="CZ70" s="76" t="s">
        <v>1369</v>
      </c>
    </row>
    <row r="71" spans="1:104">
      <c r="A71" s="133" t="s">
        <v>1861</v>
      </c>
      <c r="B71" s="134">
        <v>1</v>
      </c>
      <c r="C71" s="135">
        <v>1</v>
      </c>
      <c r="D71" s="146" t="s">
        <v>1862</v>
      </c>
      <c r="E71" s="137" t="s">
        <v>1863</v>
      </c>
      <c r="F71" s="135">
        <v>1</v>
      </c>
      <c r="G71" s="168" t="s">
        <v>1864</v>
      </c>
      <c r="H71" s="137" t="s">
        <v>1865</v>
      </c>
      <c r="I71" s="135">
        <v>1</v>
      </c>
      <c r="J71" s="146" t="s">
        <v>1866</v>
      </c>
      <c r="K71" s="137" t="s">
        <v>1867</v>
      </c>
      <c r="L71" s="135">
        <v>0</v>
      </c>
      <c r="M71" s="141" t="s">
        <v>869</v>
      </c>
      <c r="N71" s="141" t="s">
        <v>869</v>
      </c>
      <c r="O71" s="135">
        <v>0</v>
      </c>
      <c r="P71" s="141" t="s">
        <v>869</v>
      </c>
      <c r="Q71" s="141" t="s">
        <v>869</v>
      </c>
      <c r="R71" s="135">
        <v>1</v>
      </c>
      <c r="S71" s="146" t="s">
        <v>1868</v>
      </c>
      <c r="T71" s="137" t="s">
        <v>1869</v>
      </c>
      <c r="U71" s="135">
        <v>1</v>
      </c>
      <c r="V71" s="168" t="s">
        <v>1870</v>
      </c>
      <c r="W71" s="137" t="s">
        <v>1871</v>
      </c>
      <c r="X71" s="135">
        <v>0</v>
      </c>
      <c r="Y71" s="141" t="s">
        <v>869</v>
      </c>
      <c r="Z71" s="141" t="s">
        <v>869</v>
      </c>
      <c r="AA71" s="135">
        <v>1</v>
      </c>
      <c r="AB71" s="146" t="s">
        <v>1872</v>
      </c>
      <c r="AC71" s="137" t="s">
        <v>1873</v>
      </c>
      <c r="AD71" s="135">
        <v>0</v>
      </c>
      <c r="AE71" s="141" t="s">
        <v>869</v>
      </c>
      <c r="AF71" s="141" t="s">
        <v>869</v>
      </c>
      <c r="AG71" s="135">
        <v>1</v>
      </c>
      <c r="AH71" s="146" t="s">
        <v>1874</v>
      </c>
      <c r="AI71" s="137" t="s">
        <v>1875</v>
      </c>
      <c r="AJ71" s="135">
        <v>0</v>
      </c>
      <c r="AK71" s="141" t="s">
        <v>869</v>
      </c>
      <c r="AL71" s="141" t="s">
        <v>869</v>
      </c>
      <c r="AM71" s="135">
        <v>1</v>
      </c>
      <c r="AN71" s="146" t="s">
        <v>1876</v>
      </c>
      <c r="AO71" s="137" t="s">
        <v>1877</v>
      </c>
      <c r="AP71" s="135">
        <v>0</v>
      </c>
      <c r="AQ71" s="141" t="s">
        <v>869</v>
      </c>
      <c r="AR71" s="141" t="s">
        <v>869</v>
      </c>
      <c r="AS71" s="135">
        <v>1</v>
      </c>
      <c r="AT71" s="168" t="s">
        <v>1878</v>
      </c>
      <c r="AU71" s="137" t="s">
        <v>1879</v>
      </c>
      <c r="AV71" s="135">
        <v>1</v>
      </c>
      <c r="AW71" s="168" t="s">
        <v>1880</v>
      </c>
      <c r="AX71" s="192" t="s">
        <v>1881</v>
      </c>
      <c r="AY71" s="135">
        <v>1</v>
      </c>
      <c r="AZ71" s="168" t="s">
        <v>1882</v>
      </c>
      <c r="BA71" s="137" t="s">
        <v>1883</v>
      </c>
      <c r="BB71" s="135">
        <v>1</v>
      </c>
      <c r="BC71" s="146" t="s">
        <v>1884</v>
      </c>
      <c r="BD71" s="137" t="s">
        <v>1885</v>
      </c>
      <c r="BE71" s="135">
        <v>1</v>
      </c>
      <c r="BF71" s="146" t="s">
        <v>1886</v>
      </c>
      <c r="BG71" s="137" t="s">
        <v>1887</v>
      </c>
      <c r="BH71" s="135">
        <v>0</v>
      </c>
      <c r="BI71" s="141" t="s">
        <v>869</v>
      </c>
      <c r="BJ71" s="141" t="s">
        <v>869</v>
      </c>
      <c r="BK71" s="135">
        <v>0</v>
      </c>
      <c r="BL71" s="141" t="s">
        <v>869</v>
      </c>
      <c r="BM71" s="141" t="s">
        <v>869</v>
      </c>
      <c r="BN71" s="135">
        <v>0</v>
      </c>
      <c r="BO71" s="141" t="s">
        <v>869</v>
      </c>
      <c r="BP71" s="141" t="s">
        <v>869</v>
      </c>
      <c r="BQ71" s="135">
        <v>1</v>
      </c>
      <c r="BR71" s="135" t="s">
        <v>1888</v>
      </c>
      <c r="BS71" s="135" t="s">
        <v>850</v>
      </c>
      <c r="BT71" s="135">
        <v>1</v>
      </c>
      <c r="BU71" s="168" t="s">
        <v>1889</v>
      </c>
      <c r="BV71" s="137" t="s">
        <v>1890</v>
      </c>
      <c r="BW71" s="135">
        <v>0</v>
      </c>
      <c r="BX71" s="141" t="s">
        <v>869</v>
      </c>
      <c r="BY71" s="141" t="s">
        <v>869</v>
      </c>
      <c r="BZ71" s="135">
        <v>1</v>
      </c>
      <c r="CA71" s="146" t="s">
        <v>1891</v>
      </c>
      <c r="CB71" s="137" t="s">
        <v>1892</v>
      </c>
      <c r="CC71" s="135">
        <v>0</v>
      </c>
      <c r="CD71" s="141" t="s">
        <v>869</v>
      </c>
      <c r="CE71" s="141" t="s">
        <v>869</v>
      </c>
      <c r="CF71" s="135">
        <v>1</v>
      </c>
      <c r="CG71" s="168" t="s">
        <v>1893</v>
      </c>
      <c r="CH71" s="137" t="s">
        <v>1894</v>
      </c>
      <c r="CI71" s="135">
        <v>1</v>
      </c>
      <c r="CJ71" s="146" t="s">
        <v>1895</v>
      </c>
      <c r="CK71" s="137" t="s">
        <v>1896</v>
      </c>
      <c r="CL71" s="135">
        <v>0</v>
      </c>
      <c r="CM71" s="141" t="s">
        <v>869</v>
      </c>
      <c r="CN71" s="141" t="s">
        <v>869</v>
      </c>
      <c r="CO71" s="135">
        <v>0</v>
      </c>
      <c r="CP71" s="141" t="s">
        <v>869</v>
      </c>
      <c r="CQ71" s="141" t="s">
        <v>869</v>
      </c>
      <c r="CR71" s="135">
        <v>1</v>
      </c>
      <c r="CS71" s="146" t="s">
        <v>1897</v>
      </c>
      <c r="CT71" s="135" t="s">
        <v>868</v>
      </c>
      <c r="CU71" s="135">
        <v>0</v>
      </c>
      <c r="CV71" s="141" t="s">
        <v>869</v>
      </c>
      <c r="CW71" s="141" t="s">
        <v>869</v>
      </c>
      <c r="CX71" s="135">
        <v>0</v>
      </c>
      <c r="CY71" s="141" t="s">
        <v>869</v>
      </c>
      <c r="CZ71" s="141" t="s">
        <v>869</v>
      </c>
    </row>
    <row r="72" spans="1:104" s="81" customFormat="1">
      <c r="A72" s="158" t="s">
        <v>1898</v>
      </c>
      <c r="B72" s="131">
        <f>SUM(B73:B74)</f>
        <v>2.5</v>
      </c>
      <c r="C72" s="131">
        <f t="shared" ref="C72:BN72" si="38">SUM(C73:C74)</f>
        <v>1.5</v>
      </c>
      <c r="D72" s="131">
        <f t="shared" si="38"/>
        <v>0</v>
      </c>
      <c r="E72" s="131">
        <f t="shared" si="38"/>
        <v>0</v>
      </c>
      <c r="F72" s="131">
        <f t="shared" si="38"/>
        <v>1.5</v>
      </c>
      <c r="G72" s="131">
        <f t="shared" si="38"/>
        <v>0</v>
      </c>
      <c r="H72" s="131">
        <f t="shared" si="38"/>
        <v>0</v>
      </c>
      <c r="I72" s="131">
        <f t="shared" si="38"/>
        <v>2</v>
      </c>
      <c r="J72" s="131">
        <f t="shared" si="38"/>
        <v>0</v>
      </c>
      <c r="K72" s="131">
        <f t="shared" si="38"/>
        <v>0</v>
      </c>
      <c r="L72" s="131">
        <f t="shared" si="38"/>
        <v>1</v>
      </c>
      <c r="M72" s="131">
        <f t="shared" si="38"/>
        <v>0</v>
      </c>
      <c r="N72" s="131">
        <f t="shared" si="38"/>
        <v>0</v>
      </c>
      <c r="O72" s="131">
        <f t="shared" si="38"/>
        <v>0.5</v>
      </c>
      <c r="P72" s="131">
        <f t="shared" si="38"/>
        <v>0</v>
      </c>
      <c r="Q72" s="131">
        <f t="shared" si="38"/>
        <v>0</v>
      </c>
      <c r="R72" s="131">
        <f t="shared" si="38"/>
        <v>0</v>
      </c>
      <c r="S72" s="131">
        <f t="shared" si="38"/>
        <v>0</v>
      </c>
      <c r="T72" s="131">
        <f t="shared" si="38"/>
        <v>0</v>
      </c>
      <c r="U72" s="131">
        <f t="shared" si="38"/>
        <v>0</v>
      </c>
      <c r="V72" s="131">
        <f t="shared" si="38"/>
        <v>0</v>
      </c>
      <c r="W72" s="131">
        <f t="shared" si="38"/>
        <v>0</v>
      </c>
      <c r="X72" s="131">
        <f t="shared" si="38"/>
        <v>1</v>
      </c>
      <c r="Y72" s="131">
        <f t="shared" si="38"/>
        <v>0</v>
      </c>
      <c r="Z72" s="131">
        <f t="shared" si="38"/>
        <v>0</v>
      </c>
      <c r="AA72" s="131">
        <f t="shared" si="38"/>
        <v>1.5</v>
      </c>
      <c r="AB72" s="131">
        <f t="shared" si="38"/>
        <v>0</v>
      </c>
      <c r="AC72" s="131">
        <f t="shared" si="38"/>
        <v>0</v>
      </c>
      <c r="AD72" s="131">
        <f t="shared" si="38"/>
        <v>1.5</v>
      </c>
      <c r="AE72" s="131">
        <f t="shared" si="38"/>
        <v>0</v>
      </c>
      <c r="AF72" s="131">
        <f t="shared" si="38"/>
        <v>0</v>
      </c>
      <c r="AG72" s="131">
        <f t="shared" si="38"/>
        <v>0</v>
      </c>
      <c r="AH72" s="131">
        <f t="shared" si="38"/>
        <v>0</v>
      </c>
      <c r="AI72" s="131">
        <f t="shared" si="38"/>
        <v>0</v>
      </c>
      <c r="AJ72" s="131">
        <f t="shared" si="38"/>
        <v>0.5</v>
      </c>
      <c r="AK72" s="131">
        <f t="shared" si="38"/>
        <v>0</v>
      </c>
      <c r="AL72" s="131">
        <f t="shared" si="38"/>
        <v>0</v>
      </c>
      <c r="AM72" s="131">
        <f t="shared" si="38"/>
        <v>1.5</v>
      </c>
      <c r="AN72" s="131">
        <f t="shared" si="38"/>
        <v>0</v>
      </c>
      <c r="AO72" s="131">
        <f t="shared" si="38"/>
        <v>0</v>
      </c>
      <c r="AP72" s="131">
        <f t="shared" si="38"/>
        <v>0</v>
      </c>
      <c r="AQ72" s="131">
        <f t="shared" si="38"/>
        <v>0</v>
      </c>
      <c r="AR72" s="131">
        <f t="shared" si="38"/>
        <v>0</v>
      </c>
      <c r="AS72" s="131">
        <f t="shared" si="38"/>
        <v>0</v>
      </c>
      <c r="AT72" s="131">
        <f t="shared" si="38"/>
        <v>0</v>
      </c>
      <c r="AU72" s="131">
        <f t="shared" si="38"/>
        <v>0</v>
      </c>
      <c r="AV72" s="131">
        <f t="shared" si="38"/>
        <v>0</v>
      </c>
      <c r="AW72" s="131">
        <f t="shared" si="38"/>
        <v>0</v>
      </c>
      <c r="AX72" s="131">
        <f t="shared" si="38"/>
        <v>0</v>
      </c>
      <c r="AY72" s="131">
        <f t="shared" si="38"/>
        <v>0</v>
      </c>
      <c r="AZ72" s="131">
        <f t="shared" si="38"/>
        <v>0</v>
      </c>
      <c r="BA72" s="131">
        <f t="shared" si="38"/>
        <v>0</v>
      </c>
      <c r="BB72" s="131">
        <f t="shared" si="38"/>
        <v>1.5</v>
      </c>
      <c r="BC72" s="131">
        <f t="shared" si="38"/>
        <v>0</v>
      </c>
      <c r="BD72" s="131">
        <f t="shared" si="38"/>
        <v>0</v>
      </c>
      <c r="BE72" s="131">
        <f t="shared" si="38"/>
        <v>0.5</v>
      </c>
      <c r="BF72" s="131">
        <f t="shared" si="38"/>
        <v>0</v>
      </c>
      <c r="BG72" s="131">
        <f t="shared" si="38"/>
        <v>0</v>
      </c>
      <c r="BH72" s="131">
        <f t="shared" si="38"/>
        <v>0</v>
      </c>
      <c r="BI72" s="131">
        <f t="shared" si="38"/>
        <v>0</v>
      </c>
      <c r="BJ72" s="131">
        <f t="shared" si="38"/>
        <v>0</v>
      </c>
      <c r="BK72" s="131">
        <f t="shared" si="38"/>
        <v>0</v>
      </c>
      <c r="BL72" s="131">
        <f t="shared" si="38"/>
        <v>0</v>
      </c>
      <c r="BM72" s="131">
        <f t="shared" si="38"/>
        <v>0</v>
      </c>
      <c r="BN72" s="131">
        <f t="shared" si="38"/>
        <v>0</v>
      </c>
      <c r="BO72" s="131">
        <f t="shared" ref="BO72:CX72" si="39">SUM(BO73:BO74)</f>
        <v>0</v>
      </c>
      <c r="BP72" s="131">
        <f t="shared" si="39"/>
        <v>0</v>
      </c>
      <c r="BQ72" s="131">
        <f t="shared" si="39"/>
        <v>0</v>
      </c>
      <c r="BR72" s="131">
        <f t="shared" si="39"/>
        <v>0</v>
      </c>
      <c r="BS72" s="131">
        <f t="shared" si="39"/>
        <v>0</v>
      </c>
      <c r="BT72" s="131">
        <f t="shared" si="39"/>
        <v>0</v>
      </c>
      <c r="BU72" s="131">
        <f t="shared" si="39"/>
        <v>0</v>
      </c>
      <c r="BV72" s="131">
        <f t="shared" si="39"/>
        <v>0</v>
      </c>
      <c r="BW72" s="131">
        <f t="shared" si="39"/>
        <v>0.5</v>
      </c>
      <c r="BX72" s="131">
        <f t="shared" si="39"/>
        <v>0</v>
      </c>
      <c r="BY72" s="131">
        <f t="shared" si="39"/>
        <v>0</v>
      </c>
      <c r="BZ72" s="131">
        <f t="shared" si="39"/>
        <v>0</v>
      </c>
      <c r="CA72" s="131">
        <f t="shared" si="39"/>
        <v>0</v>
      </c>
      <c r="CB72" s="131">
        <f t="shared" si="39"/>
        <v>0</v>
      </c>
      <c r="CC72" s="131">
        <f t="shared" si="39"/>
        <v>0</v>
      </c>
      <c r="CD72" s="131">
        <f t="shared" si="39"/>
        <v>0</v>
      </c>
      <c r="CE72" s="131">
        <f t="shared" si="39"/>
        <v>0</v>
      </c>
      <c r="CF72" s="131">
        <f t="shared" si="39"/>
        <v>0</v>
      </c>
      <c r="CG72" s="131">
        <f t="shared" si="39"/>
        <v>0</v>
      </c>
      <c r="CH72" s="131">
        <f t="shared" si="39"/>
        <v>0</v>
      </c>
      <c r="CI72" s="131">
        <f t="shared" si="39"/>
        <v>0</v>
      </c>
      <c r="CJ72" s="131">
        <f t="shared" si="39"/>
        <v>0</v>
      </c>
      <c r="CK72" s="131">
        <f t="shared" si="39"/>
        <v>0</v>
      </c>
      <c r="CL72" s="131">
        <f t="shared" si="39"/>
        <v>0</v>
      </c>
      <c r="CM72" s="131">
        <f t="shared" si="39"/>
        <v>0</v>
      </c>
      <c r="CN72" s="131">
        <f t="shared" si="39"/>
        <v>0</v>
      </c>
      <c r="CO72" s="131">
        <f t="shared" si="39"/>
        <v>0.5</v>
      </c>
      <c r="CP72" s="131">
        <f t="shared" si="39"/>
        <v>0</v>
      </c>
      <c r="CQ72" s="131">
        <f t="shared" si="39"/>
        <v>0</v>
      </c>
      <c r="CR72" s="131">
        <f t="shared" si="39"/>
        <v>0</v>
      </c>
      <c r="CS72" s="131">
        <f t="shared" si="39"/>
        <v>0</v>
      </c>
      <c r="CT72" s="131">
        <f t="shared" si="39"/>
        <v>0</v>
      </c>
      <c r="CU72" s="131">
        <f t="shared" si="39"/>
        <v>0</v>
      </c>
      <c r="CV72" s="131">
        <f t="shared" si="39"/>
        <v>0</v>
      </c>
      <c r="CW72" s="131">
        <f t="shared" si="39"/>
        <v>0</v>
      </c>
      <c r="CX72" s="131">
        <f t="shared" si="39"/>
        <v>0</v>
      </c>
      <c r="CY72" s="131"/>
      <c r="CZ72" s="131"/>
    </row>
    <row r="73" spans="1:104" s="81" customFormat="1">
      <c r="A73" s="133" t="s">
        <v>711</v>
      </c>
      <c r="B73" s="131">
        <v>0.5</v>
      </c>
      <c r="C73" s="132">
        <v>0</v>
      </c>
      <c r="D73" s="132"/>
      <c r="E73" s="132"/>
      <c r="F73" s="132">
        <v>0</v>
      </c>
      <c r="G73" s="132"/>
      <c r="H73" s="132"/>
      <c r="I73" s="132">
        <v>0</v>
      </c>
      <c r="J73" s="132"/>
      <c r="K73" s="132"/>
      <c r="L73" s="132">
        <v>0</v>
      </c>
      <c r="M73" s="132"/>
      <c r="N73" s="132"/>
      <c r="O73" s="132">
        <v>0</v>
      </c>
      <c r="P73" s="132"/>
      <c r="Q73" s="132"/>
      <c r="R73" s="132">
        <v>0</v>
      </c>
      <c r="S73" s="132"/>
      <c r="T73" s="132"/>
      <c r="U73" s="132">
        <v>0</v>
      </c>
      <c r="V73" s="132"/>
      <c r="W73" s="132"/>
      <c r="X73" s="132">
        <v>0</v>
      </c>
      <c r="Y73" s="132"/>
      <c r="Z73" s="132"/>
      <c r="AA73" s="132">
        <v>0</v>
      </c>
      <c r="AB73" s="132">
        <v>0</v>
      </c>
      <c r="AC73" s="132">
        <v>0</v>
      </c>
      <c r="AD73" s="132">
        <v>0</v>
      </c>
      <c r="AE73" s="132">
        <v>0</v>
      </c>
      <c r="AF73" s="132">
        <v>0</v>
      </c>
      <c r="AG73" s="132">
        <v>0</v>
      </c>
      <c r="AH73" s="132">
        <v>0</v>
      </c>
      <c r="AI73" s="132">
        <v>0</v>
      </c>
      <c r="AJ73" s="132">
        <v>0</v>
      </c>
      <c r="AK73" s="132"/>
      <c r="AL73" s="132"/>
      <c r="AM73" s="132">
        <v>0</v>
      </c>
      <c r="AN73" s="132"/>
      <c r="AO73" s="132"/>
      <c r="AP73" s="132">
        <v>0</v>
      </c>
      <c r="AQ73" s="132"/>
      <c r="AR73" s="132"/>
      <c r="AS73" s="132">
        <v>0</v>
      </c>
      <c r="AT73" s="132"/>
      <c r="AU73" s="132"/>
      <c r="AV73" s="132">
        <v>0</v>
      </c>
      <c r="AW73" s="132"/>
      <c r="AX73" s="132"/>
      <c r="AY73" s="132">
        <v>0</v>
      </c>
      <c r="AZ73" s="132"/>
      <c r="BA73" s="132"/>
      <c r="BB73" s="132">
        <v>0</v>
      </c>
      <c r="BC73" s="132"/>
      <c r="BD73" s="132"/>
      <c r="BE73" s="132">
        <v>0</v>
      </c>
      <c r="BF73" s="132"/>
      <c r="BG73" s="132"/>
      <c r="BH73" s="132">
        <v>0</v>
      </c>
      <c r="BI73" s="132"/>
      <c r="BJ73" s="132"/>
      <c r="BK73" s="132">
        <v>0</v>
      </c>
      <c r="BL73" s="132"/>
      <c r="BM73" s="132"/>
      <c r="BN73" s="132">
        <v>0</v>
      </c>
      <c r="BO73" s="132">
        <v>0</v>
      </c>
      <c r="BP73" s="132">
        <v>0</v>
      </c>
      <c r="BQ73" s="132">
        <v>0</v>
      </c>
      <c r="BR73" s="132">
        <v>0</v>
      </c>
      <c r="BS73" s="132">
        <v>0</v>
      </c>
      <c r="BT73" s="132">
        <v>0</v>
      </c>
      <c r="BU73" s="132">
        <v>0</v>
      </c>
      <c r="BV73" s="132">
        <v>0</v>
      </c>
      <c r="BW73" s="132">
        <v>0</v>
      </c>
      <c r="BX73" s="132">
        <v>0</v>
      </c>
      <c r="BY73" s="132">
        <v>0</v>
      </c>
      <c r="BZ73" s="132">
        <v>0</v>
      </c>
      <c r="CA73" s="132">
        <v>0</v>
      </c>
      <c r="CB73" s="132">
        <v>0</v>
      </c>
      <c r="CC73" s="132">
        <v>0</v>
      </c>
      <c r="CD73" s="132"/>
      <c r="CE73" s="132"/>
      <c r="CF73" s="132">
        <v>0</v>
      </c>
      <c r="CG73" s="132"/>
      <c r="CH73" s="132"/>
      <c r="CI73" s="132">
        <v>0</v>
      </c>
      <c r="CJ73" s="132">
        <v>0</v>
      </c>
      <c r="CK73" s="132">
        <v>0</v>
      </c>
      <c r="CL73" s="132">
        <v>0</v>
      </c>
      <c r="CM73" s="132">
        <v>0</v>
      </c>
      <c r="CN73" s="132">
        <v>0</v>
      </c>
      <c r="CO73" s="132">
        <v>0</v>
      </c>
      <c r="CP73" s="132">
        <v>0</v>
      </c>
      <c r="CQ73" s="132">
        <v>0</v>
      </c>
      <c r="CR73" s="132">
        <v>0</v>
      </c>
      <c r="CS73" s="132">
        <v>0</v>
      </c>
      <c r="CT73" s="132">
        <v>0</v>
      </c>
      <c r="CU73" s="132">
        <v>0</v>
      </c>
      <c r="CV73" s="132">
        <v>0</v>
      </c>
      <c r="CW73" s="132">
        <v>0</v>
      </c>
      <c r="CX73" s="132">
        <v>0</v>
      </c>
      <c r="CY73" s="132"/>
      <c r="CZ73" s="132"/>
    </row>
    <row r="74" spans="1:104" ht="16.5">
      <c r="A74" s="133" t="s">
        <v>1899</v>
      </c>
      <c r="B74" s="134">
        <v>2</v>
      </c>
      <c r="C74" s="135">
        <v>1.5</v>
      </c>
      <c r="D74" s="163" t="s">
        <v>1900</v>
      </c>
      <c r="E74" s="193" t="s">
        <v>1901</v>
      </c>
      <c r="F74" s="135">
        <v>1.5</v>
      </c>
      <c r="G74" s="163" t="s">
        <v>1902</v>
      </c>
      <c r="H74" s="194" t="s">
        <v>1903</v>
      </c>
      <c r="I74" s="135">
        <v>2</v>
      </c>
      <c r="J74" s="163" t="s">
        <v>1904</v>
      </c>
      <c r="K74" s="135" t="s">
        <v>1905</v>
      </c>
      <c r="L74" s="135">
        <v>1</v>
      </c>
      <c r="M74" s="163" t="s">
        <v>1906</v>
      </c>
      <c r="N74" s="137" t="s">
        <v>1907</v>
      </c>
      <c r="O74" s="135">
        <v>0.5</v>
      </c>
      <c r="P74" s="163" t="s">
        <v>1908</v>
      </c>
      <c r="Q74" s="76" t="s">
        <v>1909</v>
      </c>
      <c r="R74" s="135">
        <v>0</v>
      </c>
      <c r="S74" s="141" t="s">
        <v>869</v>
      </c>
      <c r="T74" s="141" t="s">
        <v>869</v>
      </c>
      <c r="U74" s="135">
        <v>0</v>
      </c>
      <c r="V74" s="141" t="s">
        <v>869</v>
      </c>
      <c r="W74" s="141" t="s">
        <v>869</v>
      </c>
      <c r="X74" s="135">
        <v>1</v>
      </c>
      <c r="Y74" s="163" t="s">
        <v>1910</v>
      </c>
      <c r="Z74" s="195" t="s">
        <v>1911</v>
      </c>
      <c r="AA74" s="135">
        <v>1.5</v>
      </c>
      <c r="AB74" s="163" t="s">
        <v>1912</v>
      </c>
      <c r="AC74" s="137" t="s">
        <v>1913</v>
      </c>
      <c r="AD74" s="135">
        <v>1.5</v>
      </c>
      <c r="AE74" s="163" t="s">
        <v>1914</v>
      </c>
      <c r="AF74" s="137" t="s">
        <v>1915</v>
      </c>
      <c r="AG74" s="135">
        <v>0</v>
      </c>
      <c r="AH74" s="141" t="s">
        <v>869</v>
      </c>
      <c r="AI74" s="141" t="s">
        <v>869</v>
      </c>
      <c r="AJ74" s="135">
        <v>0.5</v>
      </c>
      <c r="AK74" s="163" t="s">
        <v>1916</v>
      </c>
      <c r="AL74" s="137" t="s">
        <v>1917</v>
      </c>
      <c r="AM74" s="135">
        <v>1.5</v>
      </c>
      <c r="AN74" s="135" t="s">
        <v>1918</v>
      </c>
      <c r="AO74" s="135" t="s">
        <v>832</v>
      </c>
      <c r="AP74" s="135">
        <v>0</v>
      </c>
      <c r="AQ74" s="141" t="s">
        <v>869</v>
      </c>
      <c r="AR74" s="141" t="s">
        <v>869</v>
      </c>
      <c r="AS74" s="135">
        <v>0</v>
      </c>
      <c r="AT74" s="141" t="s">
        <v>869</v>
      </c>
      <c r="AU74" s="141" t="s">
        <v>869</v>
      </c>
      <c r="AV74" s="135">
        <v>0</v>
      </c>
      <c r="AW74" s="141" t="s">
        <v>869</v>
      </c>
      <c r="AX74" s="141" t="s">
        <v>869</v>
      </c>
      <c r="AY74" s="135">
        <v>0</v>
      </c>
      <c r="AZ74" s="141" t="s">
        <v>869</v>
      </c>
      <c r="BA74" s="141" t="s">
        <v>869</v>
      </c>
      <c r="BB74" s="135">
        <v>1.5</v>
      </c>
      <c r="BC74" s="135" t="s">
        <v>1919</v>
      </c>
      <c r="BD74" s="196" t="s">
        <v>1920</v>
      </c>
      <c r="BE74" s="135">
        <v>0.5</v>
      </c>
      <c r="BF74" s="135" t="s">
        <v>1921</v>
      </c>
      <c r="BG74" s="137" t="s">
        <v>1922</v>
      </c>
      <c r="BH74" s="135">
        <v>0</v>
      </c>
      <c r="BI74" s="141" t="s">
        <v>869</v>
      </c>
      <c r="BJ74" s="141" t="s">
        <v>869</v>
      </c>
      <c r="BK74" s="135">
        <v>0</v>
      </c>
      <c r="BL74" s="141" t="s">
        <v>869</v>
      </c>
      <c r="BM74" s="141" t="s">
        <v>869</v>
      </c>
      <c r="BN74" s="135">
        <v>0</v>
      </c>
      <c r="BO74" s="141" t="s">
        <v>869</v>
      </c>
      <c r="BP74" s="141" t="s">
        <v>869</v>
      </c>
      <c r="BQ74" s="135">
        <v>0</v>
      </c>
      <c r="BR74" s="141" t="s">
        <v>869</v>
      </c>
      <c r="BS74" s="141" t="s">
        <v>869</v>
      </c>
      <c r="BT74" s="135">
        <v>0</v>
      </c>
      <c r="BU74" s="141" t="s">
        <v>869</v>
      </c>
      <c r="BV74" s="141" t="s">
        <v>869</v>
      </c>
      <c r="BW74" s="135">
        <v>0.5</v>
      </c>
      <c r="BX74" s="163" t="s">
        <v>1923</v>
      </c>
      <c r="BY74" s="137" t="s">
        <v>1924</v>
      </c>
      <c r="BZ74" s="135">
        <v>0</v>
      </c>
      <c r="CA74" s="141" t="s">
        <v>869</v>
      </c>
      <c r="CB74" s="141" t="s">
        <v>869</v>
      </c>
      <c r="CC74" s="135">
        <v>0</v>
      </c>
      <c r="CD74" s="141" t="s">
        <v>869</v>
      </c>
      <c r="CE74" s="141" t="s">
        <v>869</v>
      </c>
      <c r="CF74" s="135">
        <v>0</v>
      </c>
      <c r="CG74" s="141" t="s">
        <v>869</v>
      </c>
      <c r="CH74" s="141" t="s">
        <v>869</v>
      </c>
      <c r="CI74" s="135">
        <v>0</v>
      </c>
      <c r="CJ74" s="141" t="s">
        <v>869</v>
      </c>
      <c r="CK74" s="141" t="s">
        <v>869</v>
      </c>
      <c r="CL74" s="135">
        <v>0</v>
      </c>
      <c r="CM74" s="141" t="s">
        <v>869</v>
      </c>
      <c r="CN74" s="141" t="s">
        <v>869</v>
      </c>
      <c r="CO74" s="135">
        <v>0.5</v>
      </c>
      <c r="CP74" s="135" t="s">
        <v>1925</v>
      </c>
      <c r="CQ74" s="191" t="s">
        <v>1926</v>
      </c>
      <c r="CR74" s="135">
        <v>0</v>
      </c>
      <c r="CS74" s="141" t="s">
        <v>869</v>
      </c>
      <c r="CT74" s="141" t="s">
        <v>869</v>
      </c>
      <c r="CU74" s="135">
        <v>0</v>
      </c>
      <c r="CV74" s="141" t="s">
        <v>869</v>
      </c>
      <c r="CW74" s="141" t="s">
        <v>869</v>
      </c>
      <c r="CX74" s="135">
        <v>0</v>
      </c>
      <c r="CY74" s="141" t="s">
        <v>869</v>
      </c>
      <c r="CZ74" s="141" t="s">
        <v>869</v>
      </c>
    </row>
    <row r="75" spans="1:104" s="81" customFormat="1">
      <c r="A75" s="158" t="s">
        <v>1927</v>
      </c>
      <c r="B75" s="131">
        <f>SUM(B76:B80)</f>
        <v>11.5</v>
      </c>
      <c r="C75" s="131">
        <f t="shared" ref="C75:BN75" si="40">SUM(C76:C80)</f>
        <v>6.5</v>
      </c>
      <c r="D75" s="131">
        <f t="shared" si="40"/>
        <v>0</v>
      </c>
      <c r="E75" s="131">
        <f t="shared" si="40"/>
        <v>0</v>
      </c>
      <c r="F75" s="131">
        <f t="shared" si="40"/>
        <v>8.5</v>
      </c>
      <c r="G75" s="131">
        <f t="shared" si="40"/>
        <v>0</v>
      </c>
      <c r="H75" s="131">
        <f t="shared" si="40"/>
        <v>0</v>
      </c>
      <c r="I75" s="131">
        <f t="shared" si="40"/>
        <v>5.5</v>
      </c>
      <c r="J75" s="131">
        <f t="shared" si="40"/>
        <v>0</v>
      </c>
      <c r="K75" s="131">
        <f t="shared" si="40"/>
        <v>0</v>
      </c>
      <c r="L75" s="131">
        <f t="shared" si="40"/>
        <v>4</v>
      </c>
      <c r="M75" s="131">
        <f t="shared" si="40"/>
        <v>0</v>
      </c>
      <c r="N75" s="131">
        <f t="shared" si="40"/>
        <v>0</v>
      </c>
      <c r="O75" s="131">
        <f t="shared" si="40"/>
        <v>4.75</v>
      </c>
      <c r="P75" s="131">
        <f t="shared" si="40"/>
        <v>0</v>
      </c>
      <c r="Q75" s="131">
        <f t="shared" si="40"/>
        <v>0</v>
      </c>
      <c r="R75" s="131">
        <f t="shared" si="40"/>
        <v>3</v>
      </c>
      <c r="S75" s="131">
        <f t="shared" si="40"/>
        <v>0</v>
      </c>
      <c r="T75" s="131">
        <f t="shared" si="40"/>
        <v>0</v>
      </c>
      <c r="U75" s="131">
        <f t="shared" si="40"/>
        <v>7.5</v>
      </c>
      <c r="V75" s="131">
        <f t="shared" si="40"/>
        <v>0</v>
      </c>
      <c r="W75" s="131">
        <f t="shared" si="40"/>
        <v>0</v>
      </c>
      <c r="X75" s="131">
        <f t="shared" si="40"/>
        <v>8.5</v>
      </c>
      <c r="Y75" s="131">
        <f t="shared" si="40"/>
        <v>0</v>
      </c>
      <c r="Z75" s="131">
        <f t="shared" si="40"/>
        <v>0</v>
      </c>
      <c r="AA75" s="131">
        <f t="shared" si="40"/>
        <v>3.5</v>
      </c>
      <c r="AB75" s="131">
        <f t="shared" si="40"/>
        <v>0</v>
      </c>
      <c r="AC75" s="131">
        <f t="shared" si="40"/>
        <v>0</v>
      </c>
      <c r="AD75" s="131">
        <f t="shared" si="40"/>
        <v>7.5</v>
      </c>
      <c r="AE75" s="131">
        <f t="shared" si="40"/>
        <v>0</v>
      </c>
      <c r="AF75" s="131">
        <f t="shared" si="40"/>
        <v>0</v>
      </c>
      <c r="AG75" s="131">
        <f t="shared" si="40"/>
        <v>5</v>
      </c>
      <c r="AH75" s="131">
        <f t="shared" si="40"/>
        <v>0</v>
      </c>
      <c r="AI75" s="131">
        <f t="shared" si="40"/>
        <v>0</v>
      </c>
      <c r="AJ75" s="131">
        <f t="shared" si="40"/>
        <v>6.5</v>
      </c>
      <c r="AK75" s="131">
        <f t="shared" si="40"/>
        <v>0</v>
      </c>
      <c r="AL75" s="131">
        <f t="shared" si="40"/>
        <v>0</v>
      </c>
      <c r="AM75" s="131">
        <f t="shared" si="40"/>
        <v>1.5</v>
      </c>
      <c r="AN75" s="131">
        <f t="shared" si="40"/>
        <v>0</v>
      </c>
      <c r="AO75" s="131">
        <f t="shared" si="40"/>
        <v>0</v>
      </c>
      <c r="AP75" s="131">
        <f t="shared" si="40"/>
        <v>5</v>
      </c>
      <c r="AQ75" s="131">
        <f t="shared" si="40"/>
        <v>0</v>
      </c>
      <c r="AR75" s="131">
        <f t="shared" si="40"/>
        <v>0</v>
      </c>
      <c r="AS75" s="131">
        <f t="shared" si="40"/>
        <v>2</v>
      </c>
      <c r="AT75" s="131">
        <f t="shared" si="40"/>
        <v>0</v>
      </c>
      <c r="AU75" s="131">
        <f t="shared" si="40"/>
        <v>0</v>
      </c>
      <c r="AV75" s="131">
        <f t="shared" si="40"/>
        <v>8</v>
      </c>
      <c r="AW75" s="131">
        <f t="shared" si="40"/>
        <v>0</v>
      </c>
      <c r="AX75" s="131">
        <f t="shared" si="40"/>
        <v>0</v>
      </c>
      <c r="AY75" s="131">
        <f t="shared" si="40"/>
        <v>4</v>
      </c>
      <c r="AZ75" s="131">
        <f t="shared" si="40"/>
        <v>0</v>
      </c>
      <c r="BA75" s="131">
        <f t="shared" si="40"/>
        <v>0</v>
      </c>
      <c r="BB75" s="131">
        <f t="shared" si="40"/>
        <v>2</v>
      </c>
      <c r="BC75" s="131">
        <f t="shared" si="40"/>
        <v>0</v>
      </c>
      <c r="BD75" s="131">
        <f t="shared" si="40"/>
        <v>0</v>
      </c>
      <c r="BE75" s="131">
        <f t="shared" si="40"/>
        <v>3.5</v>
      </c>
      <c r="BF75" s="131">
        <f t="shared" si="40"/>
        <v>0</v>
      </c>
      <c r="BG75" s="131">
        <f t="shared" si="40"/>
        <v>0</v>
      </c>
      <c r="BH75" s="131">
        <f t="shared" si="40"/>
        <v>2.25</v>
      </c>
      <c r="BI75" s="131">
        <f t="shared" si="40"/>
        <v>0</v>
      </c>
      <c r="BJ75" s="131">
        <f t="shared" si="40"/>
        <v>0</v>
      </c>
      <c r="BK75" s="131">
        <f t="shared" si="40"/>
        <v>5.5</v>
      </c>
      <c r="BL75" s="131">
        <f t="shared" si="40"/>
        <v>0</v>
      </c>
      <c r="BM75" s="131">
        <f t="shared" si="40"/>
        <v>0</v>
      </c>
      <c r="BN75" s="131">
        <f t="shared" si="40"/>
        <v>1.5</v>
      </c>
      <c r="BO75" s="131">
        <f t="shared" ref="BO75:CX75" si="41">SUM(BO76:BO80)</f>
        <v>0</v>
      </c>
      <c r="BP75" s="131">
        <f t="shared" si="41"/>
        <v>0</v>
      </c>
      <c r="BQ75" s="131">
        <f t="shared" si="41"/>
        <v>4.5</v>
      </c>
      <c r="BR75" s="131">
        <f t="shared" si="41"/>
        <v>0</v>
      </c>
      <c r="BS75" s="131">
        <f t="shared" si="41"/>
        <v>0</v>
      </c>
      <c r="BT75" s="131">
        <f t="shared" si="41"/>
        <v>6.5</v>
      </c>
      <c r="BU75" s="131">
        <f t="shared" si="41"/>
        <v>0</v>
      </c>
      <c r="BV75" s="131">
        <f t="shared" si="41"/>
        <v>0</v>
      </c>
      <c r="BW75" s="131">
        <f t="shared" si="41"/>
        <v>2.5</v>
      </c>
      <c r="BX75" s="131">
        <f t="shared" si="41"/>
        <v>0</v>
      </c>
      <c r="BY75" s="131">
        <f t="shared" si="41"/>
        <v>0</v>
      </c>
      <c r="BZ75" s="131">
        <f t="shared" si="41"/>
        <v>1.75</v>
      </c>
      <c r="CA75" s="131">
        <f t="shared" si="41"/>
        <v>0</v>
      </c>
      <c r="CB75" s="131">
        <f t="shared" si="41"/>
        <v>0</v>
      </c>
      <c r="CC75" s="131">
        <f t="shared" si="41"/>
        <v>4.5</v>
      </c>
      <c r="CD75" s="131">
        <f t="shared" si="41"/>
        <v>0</v>
      </c>
      <c r="CE75" s="131">
        <f t="shared" si="41"/>
        <v>0</v>
      </c>
      <c r="CF75" s="131">
        <f t="shared" si="41"/>
        <v>2.5</v>
      </c>
      <c r="CG75" s="131">
        <f t="shared" si="41"/>
        <v>0</v>
      </c>
      <c r="CH75" s="131">
        <f t="shared" si="41"/>
        <v>0</v>
      </c>
      <c r="CI75" s="131">
        <f t="shared" si="41"/>
        <v>3.5</v>
      </c>
      <c r="CJ75" s="131">
        <f t="shared" si="41"/>
        <v>0</v>
      </c>
      <c r="CK75" s="131">
        <f t="shared" si="41"/>
        <v>0</v>
      </c>
      <c r="CL75" s="131">
        <f t="shared" si="41"/>
        <v>3</v>
      </c>
      <c r="CM75" s="131">
        <f t="shared" si="41"/>
        <v>0</v>
      </c>
      <c r="CN75" s="131">
        <f t="shared" si="41"/>
        <v>0</v>
      </c>
      <c r="CO75" s="131">
        <f t="shared" si="41"/>
        <v>4.5</v>
      </c>
      <c r="CP75" s="131">
        <f t="shared" si="41"/>
        <v>0</v>
      </c>
      <c r="CQ75" s="131">
        <f t="shared" si="41"/>
        <v>0</v>
      </c>
      <c r="CR75" s="131">
        <f t="shared" si="41"/>
        <v>4.5</v>
      </c>
      <c r="CS75" s="131">
        <f t="shared" si="41"/>
        <v>0</v>
      </c>
      <c r="CT75" s="131">
        <f t="shared" si="41"/>
        <v>0</v>
      </c>
      <c r="CU75" s="131">
        <f t="shared" si="41"/>
        <v>3</v>
      </c>
      <c r="CV75" s="131">
        <f t="shared" si="41"/>
        <v>0</v>
      </c>
      <c r="CW75" s="131">
        <f t="shared" si="41"/>
        <v>0</v>
      </c>
      <c r="CX75" s="131">
        <f t="shared" si="41"/>
        <v>3.25</v>
      </c>
      <c r="CY75" s="131"/>
      <c r="CZ75" s="131"/>
    </row>
    <row r="76" spans="1:104" ht="16.5">
      <c r="A76" s="133" t="s">
        <v>1928</v>
      </c>
      <c r="B76" s="134">
        <v>2</v>
      </c>
      <c r="C76" s="135">
        <v>1</v>
      </c>
      <c r="D76" s="163" t="s">
        <v>1929</v>
      </c>
      <c r="E76" s="137" t="s">
        <v>1930</v>
      </c>
      <c r="F76" s="135">
        <v>2</v>
      </c>
      <c r="G76" s="163" t="s">
        <v>1931</v>
      </c>
      <c r="H76" s="137" t="s">
        <v>1932</v>
      </c>
      <c r="I76" s="135">
        <v>0</v>
      </c>
      <c r="J76" s="141" t="s">
        <v>869</v>
      </c>
      <c r="K76" s="141" t="s">
        <v>869</v>
      </c>
      <c r="L76" s="135">
        <v>1</v>
      </c>
      <c r="M76" s="135" t="s">
        <v>1933</v>
      </c>
      <c r="N76" s="137" t="s">
        <v>1934</v>
      </c>
      <c r="O76" s="135">
        <v>0</v>
      </c>
      <c r="P76" s="141" t="s">
        <v>869</v>
      </c>
      <c r="Q76" s="141" t="s">
        <v>869</v>
      </c>
      <c r="R76" s="135">
        <v>1</v>
      </c>
      <c r="S76" s="76" t="s">
        <v>1935</v>
      </c>
      <c r="T76" s="137" t="s">
        <v>1936</v>
      </c>
      <c r="U76" s="135">
        <v>1</v>
      </c>
      <c r="V76" s="135" t="s">
        <v>1937</v>
      </c>
      <c r="W76" s="137" t="s">
        <v>1938</v>
      </c>
      <c r="X76" s="135">
        <v>1</v>
      </c>
      <c r="Y76" s="135" t="s">
        <v>1939</v>
      </c>
      <c r="Z76" s="137" t="s">
        <v>1940</v>
      </c>
      <c r="AA76" s="135">
        <v>0</v>
      </c>
      <c r="AB76" s="141" t="s">
        <v>869</v>
      </c>
      <c r="AC76" s="141" t="s">
        <v>869</v>
      </c>
      <c r="AD76" s="135">
        <v>1</v>
      </c>
      <c r="AE76" s="135" t="s">
        <v>1941</v>
      </c>
      <c r="AF76" s="137" t="s">
        <v>1942</v>
      </c>
      <c r="AG76" s="135">
        <v>2</v>
      </c>
      <c r="AH76" s="135" t="s">
        <v>1943</v>
      </c>
      <c r="AI76" s="137" t="s">
        <v>1944</v>
      </c>
      <c r="AJ76" s="135">
        <v>2</v>
      </c>
      <c r="AK76" s="146" t="s">
        <v>1945</v>
      </c>
      <c r="AL76" s="137" t="s">
        <v>1946</v>
      </c>
      <c r="AM76" s="135">
        <v>0</v>
      </c>
      <c r="AN76" s="141" t="s">
        <v>869</v>
      </c>
      <c r="AO76" s="141" t="s">
        <v>869</v>
      </c>
      <c r="AP76" s="135">
        <v>1</v>
      </c>
      <c r="AQ76" s="146" t="s">
        <v>1947</v>
      </c>
      <c r="AR76" s="137" t="s">
        <v>1948</v>
      </c>
      <c r="AS76" s="135">
        <v>1</v>
      </c>
      <c r="AT76" s="135" t="s">
        <v>1949</v>
      </c>
      <c r="AU76" s="137" t="s">
        <v>1950</v>
      </c>
      <c r="AV76" s="135">
        <v>2</v>
      </c>
      <c r="AW76" s="163" t="s">
        <v>1951</v>
      </c>
      <c r="AX76" s="191" t="s">
        <v>1948</v>
      </c>
      <c r="AY76" s="135">
        <v>1</v>
      </c>
      <c r="AZ76" s="197" t="s">
        <v>1952</v>
      </c>
      <c r="BA76" s="137" t="s">
        <v>1953</v>
      </c>
      <c r="BB76" s="135">
        <v>0</v>
      </c>
      <c r="BC76" s="141" t="s">
        <v>869</v>
      </c>
      <c r="BD76" s="141" t="s">
        <v>869</v>
      </c>
      <c r="BE76" s="135">
        <v>1</v>
      </c>
      <c r="BF76" s="163" t="s">
        <v>1954</v>
      </c>
      <c r="BG76" s="135" t="s">
        <v>808</v>
      </c>
      <c r="BH76" s="135">
        <v>1</v>
      </c>
      <c r="BI76" s="168" t="s">
        <v>1955</v>
      </c>
      <c r="BJ76" s="137" t="s">
        <v>1956</v>
      </c>
      <c r="BK76" s="135">
        <v>0</v>
      </c>
      <c r="BL76" s="141" t="s">
        <v>869</v>
      </c>
      <c r="BM76" s="141" t="s">
        <v>869</v>
      </c>
      <c r="BN76" s="135">
        <v>0</v>
      </c>
      <c r="BO76" s="141" t="s">
        <v>869</v>
      </c>
      <c r="BP76" s="141" t="s">
        <v>869</v>
      </c>
      <c r="BQ76" s="135">
        <v>2</v>
      </c>
      <c r="BR76" s="146" t="s">
        <v>1957</v>
      </c>
      <c r="BS76" s="137" t="s">
        <v>1958</v>
      </c>
      <c r="BT76" s="135">
        <v>1</v>
      </c>
      <c r="BU76" s="135" t="s">
        <v>1959</v>
      </c>
      <c r="BV76" s="137" t="s">
        <v>1960</v>
      </c>
      <c r="BW76" s="135">
        <v>0</v>
      </c>
      <c r="BX76" s="141" t="s">
        <v>869</v>
      </c>
      <c r="BY76" s="141" t="s">
        <v>869</v>
      </c>
      <c r="BZ76" s="135">
        <v>1</v>
      </c>
      <c r="CA76" s="146" t="s">
        <v>1961</v>
      </c>
      <c r="CB76" s="137" t="s">
        <v>1948</v>
      </c>
      <c r="CC76" s="135">
        <v>2</v>
      </c>
      <c r="CD76" s="168" t="s">
        <v>1962</v>
      </c>
      <c r="CE76" s="137" t="s">
        <v>1963</v>
      </c>
      <c r="CF76" s="135">
        <v>0</v>
      </c>
      <c r="CG76" s="141" t="s">
        <v>869</v>
      </c>
      <c r="CH76" s="141" t="s">
        <v>869</v>
      </c>
      <c r="CI76" s="135">
        <v>0</v>
      </c>
      <c r="CJ76" s="141" t="s">
        <v>869</v>
      </c>
      <c r="CK76" s="141" t="s">
        <v>869</v>
      </c>
      <c r="CL76" s="135">
        <v>1</v>
      </c>
      <c r="CM76" s="163" t="s">
        <v>1964</v>
      </c>
      <c r="CN76" s="137" t="s">
        <v>1965</v>
      </c>
      <c r="CO76" s="135">
        <v>1</v>
      </c>
      <c r="CP76" s="135" t="s">
        <v>1966</v>
      </c>
      <c r="CQ76" s="191" t="s">
        <v>1926</v>
      </c>
      <c r="CR76" s="135">
        <v>2</v>
      </c>
      <c r="CS76" s="135" t="s">
        <v>1967</v>
      </c>
      <c r="CT76" s="137" t="s">
        <v>1968</v>
      </c>
      <c r="CU76" s="135">
        <v>0</v>
      </c>
      <c r="CV76" s="141" t="s">
        <v>869</v>
      </c>
      <c r="CW76" s="141" t="s">
        <v>869</v>
      </c>
      <c r="CX76" s="135">
        <v>2</v>
      </c>
      <c r="CY76" s="163" t="s">
        <v>1969</v>
      </c>
      <c r="CZ76" s="137" t="s">
        <v>1948</v>
      </c>
    </row>
    <row r="77" spans="1:104">
      <c r="A77" s="133" t="s">
        <v>1970</v>
      </c>
      <c r="B77" s="134">
        <v>4</v>
      </c>
      <c r="C77" s="135">
        <v>3</v>
      </c>
      <c r="D77" s="146" t="s">
        <v>1971</v>
      </c>
      <c r="E77" s="135" t="s">
        <v>808</v>
      </c>
      <c r="F77" s="135">
        <v>4</v>
      </c>
      <c r="G77" s="135" t="s">
        <v>1972</v>
      </c>
      <c r="H77" s="137" t="s">
        <v>1973</v>
      </c>
      <c r="I77" s="135">
        <v>3</v>
      </c>
      <c r="J77" s="135" t="s">
        <v>1974</v>
      </c>
      <c r="K77" s="76" t="s">
        <v>1975</v>
      </c>
      <c r="L77" s="135">
        <v>0</v>
      </c>
      <c r="M77" s="141" t="s">
        <v>869</v>
      </c>
      <c r="N77" s="141" t="s">
        <v>869</v>
      </c>
      <c r="O77" s="135">
        <v>2</v>
      </c>
      <c r="P77" s="168" t="s">
        <v>1976</v>
      </c>
      <c r="Q77" s="137" t="s">
        <v>1977</v>
      </c>
      <c r="R77" s="135">
        <v>0</v>
      </c>
      <c r="S77" s="141" t="s">
        <v>869</v>
      </c>
      <c r="T77" s="141" t="s">
        <v>869</v>
      </c>
      <c r="U77" s="135">
        <v>1</v>
      </c>
      <c r="V77" s="168" t="s">
        <v>1978</v>
      </c>
      <c r="W77" s="135" t="s">
        <v>820</v>
      </c>
      <c r="X77" s="135">
        <v>4</v>
      </c>
      <c r="Y77" s="135" t="s">
        <v>1979</v>
      </c>
      <c r="Z77" s="137" t="s">
        <v>1980</v>
      </c>
      <c r="AA77" s="135">
        <v>0</v>
      </c>
      <c r="AB77" s="141" t="s">
        <v>869</v>
      </c>
      <c r="AC77" s="141" t="s">
        <v>869</v>
      </c>
      <c r="AD77" s="135">
        <v>3</v>
      </c>
      <c r="AE77" s="168" t="s">
        <v>1981</v>
      </c>
      <c r="AF77" s="137" t="s">
        <v>1982</v>
      </c>
      <c r="AG77" s="135">
        <v>0</v>
      </c>
      <c r="AH77" s="141" t="s">
        <v>869</v>
      </c>
      <c r="AI77" s="141" t="s">
        <v>869</v>
      </c>
      <c r="AJ77" s="135">
        <v>0</v>
      </c>
      <c r="AK77" s="141" t="s">
        <v>869</v>
      </c>
      <c r="AL77" s="141" t="s">
        <v>869</v>
      </c>
      <c r="AM77" s="135">
        <v>0</v>
      </c>
      <c r="AN77" s="141" t="s">
        <v>869</v>
      </c>
      <c r="AO77" s="141" t="s">
        <v>869</v>
      </c>
      <c r="AP77" s="135">
        <v>2</v>
      </c>
      <c r="AQ77" s="135" t="s">
        <v>1983</v>
      </c>
      <c r="AR77" s="137" t="s">
        <v>1984</v>
      </c>
      <c r="AS77" s="135">
        <v>0</v>
      </c>
      <c r="AT77" s="141" t="s">
        <v>869</v>
      </c>
      <c r="AU77" s="141" t="s">
        <v>869</v>
      </c>
      <c r="AV77" s="135">
        <v>1</v>
      </c>
      <c r="AW77" s="168" t="s">
        <v>1518</v>
      </c>
      <c r="AX77" s="137" t="s">
        <v>1519</v>
      </c>
      <c r="AY77" s="135">
        <v>1</v>
      </c>
      <c r="AZ77" s="168" t="s">
        <v>1520</v>
      </c>
      <c r="BA77" s="137" t="s">
        <v>1521</v>
      </c>
      <c r="BB77" s="135">
        <v>0</v>
      </c>
      <c r="BC77" s="141" t="s">
        <v>869</v>
      </c>
      <c r="BD77" s="141" t="s">
        <v>869</v>
      </c>
      <c r="BE77" s="135">
        <v>0</v>
      </c>
      <c r="BF77" s="141" t="s">
        <v>869</v>
      </c>
      <c r="BG77" s="141" t="s">
        <v>869</v>
      </c>
      <c r="BH77" s="135">
        <v>0</v>
      </c>
      <c r="BI77" s="141" t="s">
        <v>869</v>
      </c>
      <c r="BJ77" s="141" t="s">
        <v>869</v>
      </c>
      <c r="BK77" s="135">
        <v>3</v>
      </c>
      <c r="BL77" s="168" t="s">
        <v>1522</v>
      </c>
      <c r="BM77" s="137" t="s">
        <v>1627</v>
      </c>
      <c r="BN77" s="135">
        <v>0</v>
      </c>
      <c r="BO77" s="141" t="s">
        <v>869</v>
      </c>
      <c r="BP77" s="141" t="s">
        <v>869</v>
      </c>
      <c r="BQ77" s="135">
        <v>0</v>
      </c>
      <c r="BR77" s="141" t="s">
        <v>869</v>
      </c>
      <c r="BS77" s="141" t="s">
        <v>869</v>
      </c>
      <c r="BT77" s="135">
        <v>0</v>
      </c>
      <c r="BU77" s="141" t="s">
        <v>869</v>
      </c>
      <c r="BV77" s="141" t="s">
        <v>869</v>
      </c>
      <c r="BW77" s="135">
        <v>0</v>
      </c>
      <c r="BX77" s="141" t="s">
        <v>869</v>
      </c>
      <c r="BY77" s="141" t="s">
        <v>869</v>
      </c>
      <c r="BZ77" s="135">
        <v>0</v>
      </c>
      <c r="CA77" s="141" t="s">
        <v>869</v>
      </c>
      <c r="CB77" s="141" t="s">
        <v>869</v>
      </c>
      <c r="CC77" s="135">
        <v>0</v>
      </c>
      <c r="CD77" s="141" t="s">
        <v>869</v>
      </c>
      <c r="CE77" s="141" t="s">
        <v>869</v>
      </c>
      <c r="CF77" s="135">
        <v>0</v>
      </c>
      <c r="CG77" s="141" t="s">
        <v>869</v>
      </c>
      <c r="CH77" s="141" t="s">
        <v>869</v>
      </c>
      <c r="CI77" s="135">
        <v>0</v>
      </c>
      <c r="CJ77" s="141" t="s">
        <v>869</v>
      </c>
      <c r="CK77" s="141" t="s">
        <v>869</v>
      </c>
      <c r="CL77" s="135">
        <v>0</v>
      </c>
      <c r="CM77" s="141" t="s">
        <v>869</v>
      </c>
      <c r="CN77" s="141" t="s">
        <v>869</v>
      </c>
      <c r="CO77" s="135">
        <v>0</v>
      </c>
      <c r="CP77" s="141" t="s">
        <v>869</v>
      </c>
      <c r="CQ77" s="141" t="s">
        <v>869</v>
      </c>
      <c r="CR77" s="135">
        <v>0</v>
      </c>
      <c r="CS77" s="141" t="s">
        <v>869</v>
      </c>
      <c r="CT77" s="141" t="s">
        <v>869</v>
      </c>
      <c r="CU77" s="135">
        <v>0</v>
      </c>
      <c r="CV77" s="141" t="s">
        <v>869</v>
      </c>
      <c r="CW77" s="141" t="s">
        <v>869</v>
      </c>
      <c r="CX77" s="135">
        <v>0</v>
      </c>
      <c r="CY77" s="141" t="s">
        <v>869</v>
      </c>
      <c r="CZ77" s="141" t="s">
        <v>869</v>
      </c>
    </row>
    <row r="78" spans="1:104">
      <c r="A78" s="133" t="s">
        <v>1523</v>
      </c>
      <c r="B78" s="134">
        <v>2</v>
      </c>
      <c r="C78" s="135">
        <v>2</v>
      </c>
      <c r="D78" s="146" t="s">
        <v>1524</v>
      </c>
      <c r="E78" s="137" t="s">
        <v>1525</v>
      </c>
      <c r="F78" s="135">
        <v>1.5</v>
      </c>
      <c r="G78" s="135" t="s">
        <v>1526</v>
      </c>
      <c r="H78" s="137" t="s">
        <v>1527</v>
      </c>
      <c r="I78" s="135">
        <v>2</v>
      </c>
      <c r="J78" s="146" t="s">
        <v>1528</v>
      </c>
      <c r="K78" s="137" t="s">
        <v>1529</v>
      </c>
      <c r="L78" s="135">
        <v>2</v>
      </c>
      <c r="M78" s="135" t="s">
        <v>1530</v>
      </c>
      <c r="N78" s="137" t="s">
        <v>1529</v>
      </c>
      <c r="O78" s="135">
        <v>1.5</v>
      </c>
      <c r="P78" s="146" t="s">
        <v>1531</v>
      </c>
      <c r="Q78" s="137" t="s">
        <v>1532</v>
      </c>
      <c r="R78" s="135">
        <v>1</v>
      </c>
      <c r="S78" s="146" t="s">
        <v>1533</v>
      </c>
      <c r="T78" s="137" t="s">
        <v>1529</v>
      </c>
      <c r="U78" s="135">
        <v>2</v>
      </c>
      <c r="V78" s="135" t="s">
        <v>1534</v>
      </c>
      <c r="W78" s="137" t="s">
        <v>1529</v>
      </c>
      <c r="X78" s="135">
        <v>2</v>
      </c>
      <c r="Y78" s="135" t="s">
        <v>1535</v>
      </c>
      <c r="Z78" s="137" t="s">
        <v>1529</v>
      </c>
      <c r="AA78" s="135">
        <v>2</v>
      </c>
      <c r="AB78" s="146" t="s">
        <v>1536</v>
      </c>
      <c r="AC78" s="137" t="s">
        <v>1529</v>
      </c>
      <c r="AD78" s="135">
        <v>2</v>
      </c>
      <c r="AE78" s="135" t="s">
        <v>1537</v>
      </c>
      <c r="AF78" s="137" t="s">
        <v>1529</v>
      </c>
      <c r="AG78" s="135">
        <v>1.5</v>
      </c>
      <c r="AH78" s="146" t="s">
        <v>1538</v>
      </c>
      <c r="AI78" s="137" t="s">
        <v>1529</v>
      </c>
      <c r="AJ78" s="135">
        <v>1.5</v>
      </c>
      <c r="AK78" s="146" t="s">
        <v>1539</v>
      </c>
      <c r="AL78" s="137" t="s">
        <v>1529</v>
      </c>
      <c r="AM78" s="135">
        <v>1</v>
      </c>
      <c r="AN78" s="146" t="s">
        <v>1540</v>
      </c>
      <c r="AO78" s="137" t="s">
        <v>1529</v>
      </c>
      <c r="AP78" s="135">
        <v>1</v>
      </c>
      <c r="AQ78" s="146" t="s">
        <v>1541</v>
      </c>
      <c r="AR78" s="137" t="s">
        <v>1529</v>
      </c>
      <c r="AS78" s="135">
        <v>0.5</v>
      </c>
      <c r="AT78" s="135" t="s">
        <v>1542</v>
      </c>
      <c r="AU78" s="137" t="s">
        <v>1529</v>
      </c>
      <c r="AV78" s="135">
        <v>1.5</v>
      </c>
      <c r="AW78" s="135" t="s">
        <v>1543</v>
      </c>
      <c r="AX78" s="137" t="s">
        <v>1529</v>
      </c>
      <c r="AY78" s="135">
        <v>1.5</v>
      </c>
      <c r="AZ78" s="135" t="s">
        <v>1544</v>
      </c>
      <c r="BA78" s="137" t="s">
        <v>1529</v>
      </c>
      <c r="BB78" s="135">
        <v>1</v>
      </c>
      <c r="BC78" s="135" t="s">
        <v>1545</v>
      </c>
      <c r="BD78" s="137" t="s">
        <v>1529</v>
      </c>
      <c r="BE78" s="135">
        <v>0.5</v>
      </c>
      <c r="BF78" s="146" t="s">
        <v>1546</v>
      </c>
      <c r="BG78" s="137" t="s">
        <v>1529</v>
      </c>
      <c r="BH78" s="135">
        <v>0.25</v>
      </c>
      <c r="BI78" s="135" t="s">
        <v>1547</v>
      </c>
      <c r="BJ78" s="137" t="s">
        <v>1529</v>
      </c>
      <c r="BK78" s="135">
        <v>2</v>
      </c>
      <c r="BL78" s="135" t="s">
        <v>1548</v>
      </c>
      <c r="BM78" s="137" t="s">
        <v>1529</v>
      </c>
      <c r="BN78" s="135">
        <v>1</v>
      </c>
      <c r="BO78" s="135" t="s">
        <v>1549</v>
      </c>
      <c r="BP78" s="137" t="s">
        <v>1529</v>
      </c>
      <c r="BQ78" s="135">
        <v>2</v>
      </c>
      <c r="BR78" s="135"/>
      <c r="BS78" s="137"/>
      <c r="BT78" s="135">
        <v>2</v>
      </c>
      <c r="BU78" s="135" t="s">
        <v>1550</v>
      </c>
      <c r="BV78" s="137" t="s">
        <v>1529</v>
      </c>
      <c r="BW78" s="135">
        <v>2</v>
      </c>
      <c r="BX78" s="135" t="s">
        <v>1551</v>
      </c>
      <c r="BY78" s="137" t="s">
        <v>1529</v>
      </c>
      <c r="BZ78" s="135">
        <v>0.25</v>
      </c>
      <c r="CA78" s="135" t="s">
        <v>1552</v>
      </c>
      <c r="CB78" s="137" t="s">
        <v>1529</v>
      </c>
      <c r="CC78" s="135">
        <v>1.5</v>
      </c>
      <c r="CD78" s="135" t="s">
        <v>1553</v>
      </c>
      <c r="CE78" s="137" t="s">
        <v>1529</v>
      </c>
      <c r="CF78" s="135">
        <v>2</v>
      </c>
      <c r="CG78" s="135" t="s">
        <v>1554</v>
      </c>
      <c r="CH78" s="137" t="s">
        <v>1529</v>
      </c>
      <c r="CI78" s="135">
        <v>2</v>
      </c>
      <c r="CJ78" s="135"/>
      <c r="CK78" s="137"/>
      <c r="CL78" s="135">
        <v>1</v>
      </c>
      <c r="CM78" s="135" t="s">
        <v>1555</v>
      </c>
      <c r="CN78" s="137" t="s">
        <v>1529</v>
      </c>
      <c r="CO78" s="135">
        <v>1.5</v>
      </c>
      <c r="CP78" s="135" t="s">
        <v>1556</v>
      </c>
      <c r="CQ78" s="137" t="s">
        <v>1529</v>
      </c>
      <c r="CR78" s="135">
        <v>0.5</v>
      </c>
      <c r="CS78" s="135" t="s">
        <v>1557</v>
      </c>
      <c r="CT78" s="137" t="s">
        <v>1529</v>
      </c>
      <c r="CU78" s="135">
        <v>1.5</v>
      </c>
      <c r="CV78" s="135" t="s">
        <v>1558</v>
      </c>
      <c r="CW78" s="137" t="s">
        <v>1529</v>
      </c>
      <c r="CX78" s="135">
        <v>0.25</v>
      </c>
      <c r="CY78" s="135" t="s">
        <v>1559</v>
      </c>
      <c r="CZ78" s="137" t="s">
        <v>1529</v>
      </c>
    </row>
    <row r="79" spans="1:104">
      <c r="A79" s="133" t="s">
        <v>1560</v>
      </c>
      <c r="B79" s="134">
        <v>0.5</v>
      </c>
      <c r="C79" s="135">
        <v>0</v>
      </c>
      <c r="D79" s="141" t="s">
        <v>869</v>
      </c>
      <c r="E79" s="141" t="s">
        <v>869</v>
      </c>
      <c r="F79" s="135">
        <v>0</v>
      </c>
      <c r="G79" s="141" t="s">
        <v>869</v>
      </c>
      <c r="H79" s="141" t="s">
        <v>869</v>
      </c>
      <c r="I79" s="135">
        <v>0</v>
      </c>
      <c r="J79" s="141" t="s">
        <v>869</v>
      </c>
      <c r="K79" s="141" t="s">
        <v>869</v>
      </c>
      <c r="L79" s="135">
        <v>0.5</v>
      </c>
      <c r="M79" s="146" t="s">
        <v>1561</v>
      </c>
      <c r="N79" s="137" t="s">
        <v>1562</v>
      </c>
      <c r="O79" s="135">
        <v>0.25</v>
      </c>
      <c r="P79" s="146" t="s">
        <v>1563</v>
      </c>
      <c r="Q79" s="135" t="s">
        <v>816</v>
      </c>
      <c r="R79" s="135">
        <v>0.5</v>
      </c>
      <c r="S79" s="146" t="s">
        <v>1564</v>
      </c>
      <c r="T79" s="198" t="s">
        <v>1565</v>
      </c>
      <c r="U79" s="135">
        <v>0.5</v>
      </c>
      <c r="V79" s="168" t="s">
        <v>1566</v>
      </c>
      <c r="W79" s="191" t="s">
        <v>1567</v>
      </c>
      <c r="X79" s="135">
        <v>0.5</v>
      </c>
      <c r="Y79" s="146" t="s">
        <v>1568</v>
      </c>
      <c r="Z79" s="137" t="s">
        <v>1569</v>
      </c>
      <c r="AA79" s="135">
        <v>0.5</v>
      </c>
      <c r="AB79" s="146" t="s">
        <v>1570</v>
      </c>
      <c r="AC79" s="198" t="s">
        <v>1571</v>
      </c>
      <c r="AD79" s="135">
        <v>0.5</v>
      </c>
      <c r="AE79" s="168" t="s">
        <v>1572</v>
      </c>
      <c r="AF79" s="137" t="s">
        <v>1573</v>
      </c>
      <c r="AG79" s="135">
        <v>0.5</v>
      </c>
      <c r="AH79" s="146" t="s">
        <v>1574</v>
      </c>
      <c r="AI79" s="137" t="s">
        <v>1575</v>
      </c>
      <c r="AJ79" s="135">
        <v>0</v>
      </c>
      <c r="AK79" s="141" t="s">
        <v>869</v>
      </c>
      <c r="AL79" s="141" t="s">
        <v>869</v>
      </c>
      <c r="AM79" s="135">
        <v>0</v>
      </c>
      <c r="AN79" s="141" t="s">
        <v>869</v>
      </c>
      <c r="AO79" s="141" t="s">
        <v>869</v>
      </c>
      <c r="AP79" s="135">
        <v>0.5</v>
      </c>
      <c r="AQ79" s="146" t="s">
        <v>1576</v>
      </c>
      <c r="AR79" s="135" t="s">
        <v>834</v>
      </c>
      <c r="AS79" s="135">
        <v>0</v>
      </c>
      <c r="AT79" s="141" t="s">
        <v>869</v>
      </c>
      <c r="AU79" s="141" t="s">
        <v>869</v>
      </c>
      <c r="AV79" s="135">
        <v>0.5</v>
      </c>
      <c r="AW79" s="168" t="s">
        <v>1577</v>
      </c>
      <c r="AX79" s="137" t="s">
        <v>1578</v>
      </c>
      <c r="AY79" s="135">
        <v>0</v>
      </c>
      <c r="AZ79" s="141" t="s">
        <v>869</v>
      </c>
      <c r="BA79" s="141" t="s">
        <v>869</v>
      </c>
      <c r="BB79" s="135">
        <v>0.5</v>
      </c>
      <c r="BC79" s="146" t="s">
        <v>1579</v>
      </c>
      <c r="BD79" s="137" t="s">
        <v>1580</v>
      </c>
      <c r="BE79" s="135">
        <v>0</v>
      </c>
      <c r="BF79" s="141" t="s">
        <v>869</v>
      </c>
      <c r="BG79" s="141" t="s">
        <v>869</v>
      </c>
      <c r="BH79" s="135">
        <v>0.5</v>
      </c>
      <c r="BI79" s="146" t="s">
        <v>1581</v>
      </c>
      <c r="BJ79" s="198" t="s">
        <v>1582</v>
      </c>
      <c r="BK79" s="135">
        <v>0</v>
      </c>
      <c r="BL79" s="141" t="s">
        <v>869</v>
      </c>
      <c r="BM79" s="141" t="s">
        <v>869</v>
      </c>
      <c r="BN79" s="135">
        <v>0</v>
      </c>
      <c r="BO79" s="141" t="s">
        <v>869</v>
      </c>
      <c r="BP79" s="141" t="s">
        <v>869</v>
      </c>
      <c r="BQ79" s="135">
        <v>0</v>
      </c>
      <c r="BR79" s="141" t="s">
        <v>869</v>
      </c>
      <c r="BS79" s="141" t="s">
        <v>869</v>
      </c>
      <c r="BT79" s="135">
        <v>0.5</v>
      </c>
      <c r="BU79" s="146" t="s">
        <v>1583</v>
      </c>
      <c r="BV79" s="137" t="s">
        <v>1584</v>
      </c>
      <c r="BW79" s="135">
        <v>0</v>
      </c>
      <c r="BX79" s="141" t="s">
        <v>869</v>
      </c>
      <c r="BY79" s="141" t="s">
        <v>869</v>
      </c>
      <c r="BZ79" s="135">
        <v>0</v>
      </c>
      <c r="CA79" s="141" t="s">
        <v>869</v>
      </c>
      <c r="CB79" s="141" t="s">
        <v>869</v>
      </c>
      <c r="CC79" s="135">
        <v>0</v>
      </c>
      <c r="CD79" s="141" t="s">
        <v>869</v>
      </c>
      <c r="CE79" s="141" t="s">
        <v>869</v>
      </c>
      <c r="CF79" s="135">
        <v>0</v>
      </c>
      <c r="CG79" s="141" t="s">
        <v>869</v>
      </c>
      <c r="CH79" s="141" t="s">
        <v>869</v>
      </c>
      <c r="CI79" s="135">
        <v>0.5</v>
      </c>
      <c r="CJ79" s="146" t="s">
        <v>1585</v>
      </c>
      <c r="CK79" s="135" t="s">
        <v>882</v>
      </c>
      <c r="CL79" s="135">
        <v>0</v>
      </c>
      <c r="CM79" s="141" t="s">
        <v>869</v>
      </c>
      <c r="CN79" s="141" t="s">
        <v>869</v>
      </c>
      <c r="CO79" s="135">
        <v>0</v>
      </c>
      <c r="CP79" s="141" t="s">
        <v>869</v>
      </c>
      <c r="CQ79" s="141" t="s">
        <v>869</v>
      </c>
      <c r="CR79" s="135">
        <v>0</v>
      </c>
      <c r="CS79" s="141" t="s">
        <v>869</v>
      </c>
      <c r="CT79" s="141" t="s">
        <v>869</v>
      </c>
      <c r="CU79" s="135">
        <v>0.5</v>
      </c>
      <c r="CV79" s="146" t="s">
        <v>1104</v>
      </c>
      <c r="CW79" s="198" t="s">
        <v>1575</v>
      </c>
      <c r="CX79" s="135">
        <v>0</v>
      </c>
      <c r="CY79" s="141" t="s">
        <v>869</v>
      </c>
      <c r="CZ79" s="141" t="s">
        <v>869</v>
      </c>
    </row>
    <row r="80" spans="1:104">
      <c r="A80" s="133" t="s">
        <v>1586</v>
      </c>
      <c r="B80" s="149">
        <v>3</v>
      </c>
      <c r="C80" s="135">
        <v>0.5</v>
      </c>
      <c r="D80" s="76" t="s">
        <v>1587</v>
      </c>
      <c r="E80" s="76" t="s">
        <v>1588</v>
      </c>
      <c r="F80" s="135">
        <v>1</v>
      </c>
      <c r="G80" s="76" t="s">
        <v>1587</v>
      </c>
      <c r="H80" s="76" t="s">
        <v>1588</v>
      </c>
      <c r="I80" s="135">
        <v>0.5</v>
      </c>
      <c r="J80" s="76" t="s">
        <v>1587</v>
      </c>
      <c r="K80" s="76" t="s">
        <v>1588</v>
      </c>
      <c r="L80" s="135">
        <v>0.5</v>
      </c>
      <c r="M80" s="76" t="s">
        <v>1587</v>
      </c>
      <c r="N80" s="76" t="s">
        <v>1588</v>
      </c>
      <c r="O80" s="135">
        <v>1</v>
      </c>
      <c r="P80" s="76" t="s">
        <v>1587</v>
      </c>
      <c r="Q80" s="76" t="s">
        <v>1588</v>
      </c>
      <c r="R80" s="135">
        <v>0.5</v>
      </c>
      <c r="S80" s="76" t="s">
        <v>1587</v>
      </c>
      <c r="T80" s="76" t="s">
        <v>1588</v>
      </c>
      <c r="U80" s="135">
        <v>3</v>
      </c>
      <c r="V80" s="76" t="s">
        <v>1587</v>
      </c>
      <c r="W80" s="76" t="s">
        <v>1588</v>
      </c>
      <c r="X80" s="135">
        <v>1</v>
      </c>
      <c r="Y80" s="76" t="s">
        <v>1587</v>
      </c>
      <c r="Z80" s="76" t="s">
        <v>1588</v>
      </c>
      <c r="AA80" s="135">
        <v>1</v>
      </c>
      <c r="AB80" s="76" t="s">
        <v>1587</v>
      </c>
      <c r="AC80" s="76" t="s">
        <v>1588</v>
      </c>
      <c r="AD80" s="135">
        <v>1</v>
      </c>
      <c r="AE80" s="76" t="s">
        <v>1587</v>
      </c>
      <c r="AF80" s="76" t="s">
        <v>1588</v>
      </c>
      <c r="AG80" s="135">
        <v>1</v>
      </c>
      <c r="AH80" s="76" t="s">
        <v>1587</v>
      </c>
      <c r="AI80" s="76" t="s">
        <v>1588</v>
      </c>
      <c r="AJ80" s="135">
        <v>3</v>
      </c>
      <c r="AK80" s="76" t="s">
        <v>1587</v>
      </c>
      <c r="AL80" s="76" t="s">
        <v>1588</v>
      </c>
      <c r="AM80" s="135">
        <v>0.5</v>
      </c>
      <c r="AN80" s="76" t="s">
        <v>1587</v>
      </c>
      <c r="AO80" s="76" t="s">
        <v>1588</v>
      </c>
      <c r="AP80" s="135">
        <v>0.5</v>
      </c>
      <c r="AQ80" s="76" t="s">
        <v>1587</v>
      </c>
      <c r="AR80" s="76" t="s">
        <v>1588</v>
      </c>
      <c r="AS80" s="135">
        <v>0.5</v>
      </c>
      <c r="AT80" s="76" t="s">
        <v>1587</v>
      </c>
      <c r="AU80" s="76" t="s">
        <v>1588</v>
      </c>
      <c r="AV80" s="135">
        <v>3</v>
      </c>
      <c r="AW80" s="76" t="s">
        <v>1587</v>
      </c>
      <c r="AX80" s="76" t="s">
        <v>1588</v>
      </c>
      <c r="AY80" s="135">
        <v>0.5</v>
      </c>
      <c r="AZ80" s="76" t="s">
        <v>1587</v>
      </c>
      <c r="BA80" s="76" t="s">
        <v>1588</v>
      </c>
      <c r="BB80" s="135">
        <v>0.5</v>
      </c>
      <c r="BC80" s="76" t="s">
        <v>1587</v>
      </c>
      <c r="BD80" s="76" t="s">
        <v>1588</v>
      </c>
      <c r="BE80" s="135">
        <v>2</v>
      </c>
      <c r="BF80" s="76" t="s">
        <v>1587</v>
      </c>
      <c r="BG80" s="76" t="s">
        <v>1588</v>
      </c>
      <c r="BH80" s="135">
        <v>0.5</v>
      </c>
      <c r="BI80" s="76" t="s">
        <v>1587</v>
      </c>
      <c r="BJ80" s="76" t="s">
        <v>1588</v>
      </c>
      <c r="BK80" s="135">
        <v>0.5</v>
      </c>
      <c r="BL80" s="76" t="s">
        <v>1587</v>
      </c>
      <c r="BM80" s="76" t="s">
        <v>1588</v>
      </c>
      <c r="BN80" s="135">
        <v>0.5</v>
      </c>
      <c r="BO80" s="76" t="s">
        <v>1587</v>
      </c>
      <c r="BP80" s="76" t="s">
        <v>1588</v>
      </c>
      <c r="BQ80" s="135">
        <v>0.5</v>
      </c>
      <c r="BR80" s="76" t="s">
        <v>1587</v>
      </c>
      <c r="BS80" s="76" t="s">
        <v>1588</v>
      </c>
      <c r="BT80" s="135">
        <v>3</v>
      </c>
      <c r="BU80" s="76" t="s">
        <v>1587</v>
      </c>
      <c r="BV80" s="76" t="s">
        <v>1588</v>
      </c>
      <c r="BW80" s="135">
        <v>0.5</v>
      </c>
      <c r="BX80" s="76" t="s">
        <v>1587</v>
      </c>
      <c r="BY80" s="76" t="s">
        <v>1588</v>
      </c>
      <c r="BZ80" s="135">
        <v>0.5</v>
      </c>
      <c r="CA80" s="76" t="s">
        <v>1587</v>
      </c>
      <c r="CB80" s="76" t="s">
        <v>1588</v>
      </c>
      <c r="CC80" s="135">
        <v>1</v>
      </c>
      <c r="CD80" s="76" t="s">
        <v>1587</v>
      </c>
      <c r="CE80" s="76" t="s">
        <v>1588</v>
      </c>
      <c r="CF80" s="135">
        <v>0.5</v>
      </c>
      <c r="CG80" s="76" t="s">
        <v>1587</v>
      </c>
      <c r="CH80" s="76" t="s">
        <v>1588</v>
      </c>
      <c r="CI80" s="135">
        <v>1</v>
      </c>
      <c r="CJ80" s="76" t="s">
        <v>1587</v>
      </c>
      <c r="CK80" s="76" t="s">
        <v>1588</v>
      </c>
      <c r="CL80" s="135">
        <v>1</v>
      </c>
      <c r="CM80" s="76" t="s">
        <v>1587</v>
      </c>
      <c r="CN80" s="76" t="s">
        <v>1588</v>
      </c>
      <c r="CO80" s="135">
        <v>2</v>
      </c>
      <c r="CP80" s="76" t="s">
        <v>1587</v>
      </c>
      <c r="CQ80" s="76" t="s">
        <v>1588</v>
      </c>
      <c r="CR80" s="135">
        <v>2</v>
      </c>
      <c r="CS80" s="76" t="s">
        <v>1587</v>
      </c>
      <c r="CT80" s="76" t="s">
        <v>1588</v>
      </c>
      <c r="CU80" s="135">
        <v>1</v>
      </c>
      <c r="CV80" s="76" t="s">
        <v>1587</v>
      </c>
      <c r="CW80" s="76" t="s">
        <v>1588</v>
      </c>
      <c r="CX80" s="135">
        <v>1</v>
      </c>
      <c r="CY80" s="76" t="s">
        <v>1587</v>
      </c>
      <c r="CZ80" s="76" t="s">
        <v>1588</v>
      </c>
    </row>
    <row r="81" spans="1:104" s="81" customFormat="1">
      <c r="A81" s="158" t="s">
        <v>1589</v>
      </c>
      <c r="B81" s="131">
        <f>SUM(B82:B85)</f>
        <v>5</v>
      </c>
      <c r="C81" s="131">
        <f t="shared" ref="C81:BN81" si="42">SUM(C82:C85)</f>
        <v>3</v>
      </c>
      <c r="D81" s="131">
        <f t="shared" si="42"/>
        <v>0</v>
      </c>
      <c r="E81" s="131">
        <f t="shared" si="42"/>
        <v>0</v>
      </c>
      <c r="F81" s="131">
        <f t="shared" si="42"/>
        <v>4</v>
      </c>
      <c r="G81" s="131">
        <f t="shared" si="42"/>
        <v>0</v>
      </c>
      <c r="H81" s="131">
        <f t="shared" si="42"/>
        <v>0</v>
      </c>
      <c r="I81" s="131">
        <f t="shared" si="42"/>
        <v>3</v>
      </c>
      <c r="J81" s="131">
        <f t="shared" si="42"/>
        <v>0</v>
      </c>
      <c r="K81" s="131">
        <f t="shared" si="42"/>
        <v>0</v>
      </c>
      <c r="L81" s="131">
        <f t="shared" si="42"/>
        <v>2</v>
      </c>
      <c r="M81" s="131">
        <f t="shared" si="42"/>
        <v>0</v>
      </c>
      <c r="N81" s="131">
        <f t="shared" si="42"/>
        <v>0</v>
      </c>
      <c r="O81" s="131">
        <f t="shared" si="42"/>
        <v>1</v>
      </c>
      <c r="P81" s="131">
        <f t="shared" si="42"/>
        <v>0</v>
      </c>
      <c r="Q81" s="131">
        <f t="shared" si="42"/>
        <v>0</v>
      </c>
      <c r="R81" s="131">
        <f t="shared" si="42"/>
        <v>1.5</v>
      </c>
      <c r="S81" s="131">
        <f t="shared" si="42"/>
        <v>0</v>
      </c>
      <c r="T81" s="131">
        <f t="shared" si="42"/>
        <v>0</v>
      </c>
      <c r="U81" s="131">
        <f t="shared" si="42"/>
        <v>1</v>
      </c>
      <c r="V81" s="131">
        <f t="shared" si="42"/>
        <v>0</v>
      </c>
      <c r="W81" s="131">
        <f t="shared" si="42"/>
        <v>0</v>
      </c>
      <c r="X81" s="131">
        <f t="shared" si="42"/>
        <v>1.5</v>
      </c>
      <c r="Y81" s="131">
        <f t="shared" si="42"/>
        <v>0</v>
      </c>
      <c r="Z81" s="131">
        <f t="shared" si="42"/>
        <v>0</v>
      </c>
      <c r="AA81" s="131">
        <f t="shared" si="42"/>
        <v>0</v>
      </c>
      <c r="AB81" s="131">
        <f t="shared" si="42"/>
        <v>0</v>
      </c>
      <c r="AC81" s="131">
        <f t="shared" si="42"/>
        <v>0</v>
      </c>
      <c r="AD81" s="131">
        <f t="shared" si="42"/>
        <v>0</v>
      </c>
      <c r="AE81" s="131">
        <f t="shared" si="42"/>
        <v>0</v>
      </c>
      <c r="AF81" s="131">
        <f t="shared" si="42"/>
        <v>0</v>
      </c>
      <c r="AG81" s="131">
        <f t="shared" si="42"/>
        <v>1</v>
      </c>
      <c r="AH81" s="131">
        <f t="shared" si="42"/>
        <v>0</v>
      </c>
      <c r="AI81" s="131">
        <f t="shared" si="42"/>
        <v>0</v>
      </c>
      <c r="AJ81" s="131">
        <f t="shared" si="42"/>
        <v>1</v>
      </c>
      <c r="AK81" s="131">
        <f t="shared" si="42"/>
        <v>0</v>
      </c>
      <c r="AL81" s="131">
        <f t="shared" si="42"/>
        <v>0</v>
      </c>
      <c r="AM81" s="131">
        <f t="shared" si="42"/>
        <v>3</v>
      </c>
      <c r="AN81" s="131">
        <f t="shared" si="42"/>
        <v>0</v>
      </c>
      <c r="AO81" s="131">
        <f t="shared" si="42"/>
        <v>0</v>
      </c>
      <c r="AP81" s="131">
        <f t="shared" si="42"/>
        <v>1.5</v>
      </c>
      <c r="AQ81" s="131">
        <f t="shared" si="42"/>
        <v>0</v>
      </c>
      <c r="AR81" s="131">
        <f t="shared" si="42"/>
        <v>0</v>
      </c>
      <c r="AS81" s="131">
        <f t="shared" si="42"/>
        <v>1</v>
      </c>
      <c r="AT81" s="131">
        <f t="shared" si="42"/>
        <v>0</v>
      </c>
      <c r="AU81" s="131">
        <f t="shared" si="42"/>
        <v>0</v>
      </c>
      <c r="AV81" s="131">
        <f t="shared" si="42"/>
        <v>3</v>
      </c>
      <c r="AW81" s="131">
        <f t="shared" si="42"/>
        <v>0</v>
      </c>
      <c r="AX81" s="131">
        <f t="shared" si="42"/>
        <v>0</v>
      </c>
      <c r="AY81" s="131">
        <f t="shared" si="42"/>
        <v>1.5</v>
      </c>
      <c r="AZ81" s="131">
        <f t="shared" si="42"/>
        <v>0</v>
      </c>
      <c r="BA81" s="131">
        <f t="shared" si="42"/>
        <v>0</v>
      </c>
      <c r="BB81" s="131">
        <f t="shared" si="42"/>
        <v>0.5</v>
      </c>
      <c r="BC81" s="131">
        <f t="shared" si="42"/>
        <v>0</v>
      </c>
      <c r="BD81" s="131">
        <f t="shared" si="42"/>
        <v>0</v>
      </c>
      <c r="BE81" s="131">
        <f t="shared" si="42"/>
        <v>1</v>
      </c>
      <c r="BF81" s="131">
        <f t="shared" si="42"/>
        <v>0</v>
      </c>
      <c r="BG81" s="131">
        <f t="shared" si="42"/>
        <v>0</v>
      </c>
      <c r="BH81" s="131">
        <f t="shared" si="42"/>
        <v>0.5</v>
      </c>
      <c r="BI81" s="131">
        <f t="shared" si="42"/>
        <v>0</v>
      </c>
      <c r="BJ81" s="131">
        <f t="shared" si="42"/>
        <v>0</v>
      </c>
      <c r="BK81" s="131">
        <f t="shared" si="42"/>
        <v>1.5</v>
      </c>
      <c r="BL81" s="131">
        <f t="shared" si="42"/>
        <v>0</v>
      </c>
      <c r="BM81" s="131">
        <f t="shared" si="42"/>
        <v>0</v>
      </c>
      <c r="BN81" s="131">
        <f t="shared" si="42"/>
        <v>0.5</v>
      </c>
      <c r="BO81" s="131">
        <f t="shared" ref="BO81:CZ81" si="43">SUM(BO82:BO85)</f>
        <v>0</v>
      </c>
      <c r="BP81" s="131">
        <f t="shared" si="43"/>
        <v>0</v>
      </c>
      <c r="BQ81" s="131">
        <f t="shared" si="43"/>
        <v>1</v>
      </c>
      <c r="BR81" s="131">
        <f t="shared" si="43"/>
        <v>0</v>
      </c>
      <c r="BS81" s="131">
        <f t="shared" si="43"/>
        <v>0</v>
      </c>
      <c r="BT81" s="131">
        <f t="shared" si="43"/>
        <v>0</v>
      </c>
      <c r="BU81" s="131">
        <f t="shared" si="43"/>
        <v>0</v>
      </c>
      <c r="BV81" s="131">
        <f t="shared" si="43"/>
        <v>0</v>
      </c>
      <c r="BW81" s="131">
        <f t="shared" si="43"/>
        <v>0</v>
      </c>
      <c r="BX81" s="131">
        <f t="shared" si="43"/>
        <v>0</v>
      </c>
      <c r="BY81" s="131">
        <f t="shared" si="43"/>
        <v>0</v>
      </c>
      <c r="BZ81" s="131">
        <f t="shared" si="43"/>
        <v>0</v>
      </c>
      <c r="CA81" s="131">
        <f t="shared" si="43"/>
        <v>0</v>
      </c>
      <c r="CB81" s="131">
        <f t="shared" si="43"/>
        <v>0</v>
      </c>
      <c r="CC81" s="131">
        <f t="shared" si="43"/>
        <v>0</v>
      </c>
      <c r="CD81" s="131">
        <f t="shared" si="43"/>
        <v>0</v>
      </c>
      <c r="CE81" s="131">
        <f t="shared" si="43"/>
        <v>0</v>
      </c>
      <c r="CF81" s="131">
        <f t="shared" si="43"/>
        <v>1</v>
      </c>
      <c r="CG81" s="131">
        <f t="shared" si="43"/>
        <v>0</v>
      </c>
      <c r="CH81" s="131">
        <f t="shared" si="43"/>
        <v>0</v>
      </c>
      <c r="CI81" s="131">
        <f t="shared" si="43"/>
        <v>0</v>
      </c>
      <c r="CJ81" s="131">
        <f t="shared" si="43"/>
        <v>0</v>
      </c>
      <c r="CK81" s="131">
        <f t="shared" si="43"/>
        <v>0</v>
      </c>
      <c r="CL81" s="131">
        <f t="shared" si="43"/>
        <v>0</v>
      </c>
      <c r="CM81" s="131">
        <f t="shared" si="43"/>
        <v>0</v>
      </c>
      <c r="CN81" s="131">
        <f t="shared" si="43"/>
        <v>0</v>
      </c>
      <c r="CO81" s="131">
        <f t="shared" si="43"/>
        <v>0</v>
      </c>
      <c r="CP81" s="131">
        <f t="shared" si="43"/>
        <v>0</v>
      </c>
      <c r="CQ81" s="131">
        <f t="shared" si="43"/>
        <v>0</v>
      </c>
      <c r="CR81" s="131">
        <f t="shared" si="43"/>
        <v>0</v>
      </c>
      <c r="CS81" s="131">
        <f t="shared" si="43"/>
        <v>0</v>
      </c>
      <c r="CT81" s="131">
        <f t="shared" si="43"/>
        <v>0</v>
      </c>
      <c r="CU81" s="131">
        <f t="shared" si="43"/>
        <v>0</v>
      </c>
      <c r="CV81" s="131">
        <f t="shared" si="43"/>
        <v>0</v>
      </c>
      <c r="CW81" s="131">
        <f t="shared" si="43"/>
        <v>0</v>
      </c>
      <c r="CX81" s="131">
        <f t="shared" si="43"/>
        <v>0</v>
      </c>
      <c r="CY81" s="131">
        <f t="shared" si="43"/>
        <v>0</v>
      </c>
      <c r="CZ81" s="131">
        <f t="shared" si="43"/>
        <v>0</v>
      </c>
    </row>
    <row r="82" spans="1:104" s="81" customFormat="1">
      <c r="A82" s="133" t="s">
        <v>1590</v>
      </c>
      <c r="B82" s="131">
        <v>1.5</v>
      </c>
      <c r="C82" s="132">
        <v>0.5</v>
      </c>
      <c r="D82" s="132"/>
      <c r="E82" s="132"/>
      <c r="F82" s="132">
        <v>1.5</v>
      </c>
      <c r="G82" s="132"/>
      <c r="H82" s="132"/>
      <c r="I82" s="132">
        <v>0.5</v>
      </c>
      <c r="J82" s="132"/>
      <c r="K82" s="132"/>
      <c r="L82" s="132">
        <v>1</v>
      </c>
      <c r="M82" s="132"/>
      <c r="N82" s="132"/>
      <c r="O82" s="132">
        <v>0</v>
      </c>
      <c r="P82" s="132"/>
      <c r="Q82" s="132"/>
      <c r="R82" s="132">
        <v>1</v>
      </c>
      <c r="S82" s="132"/>
      <c r="T82" s="132"/>
      <c r="U82" s="132">
        <v>0</v>
      </c>
      <c r="V82" s="132"/>
      <c r="W82" s="132"/>
      <c r="X82" s="132">
        <v>0.5</v>
      </c>
      <c r="Y82" s="132"/>
      <c r="Z82" s="132"/>
      <c r="AA82" s="132">
        <v>0</v>
      </c>
      <c r="AB82" s="132">
        <v>0</v>
      </c>
      <c r="AC82" s="132">
        <v>0</v>
      </c>
      <c r="AD82" s="132">
        <v>0</v>
      </c>
      <c r="AE82" s="132">
        <v>0</v>
      </c>
      <c r="AF82" s="132">
        <v>0</v>
      </c>
      <c r="AG82" s="132">
        <v>0</v>
      </c>
      <c r="AH82" s="132">
        <v>0</v>
      </c>
      <c r="AI82" s="132">
        <v>0</v>
      </c>
      <c r="AJ82" s="132">
        <v>0</v>
      </c>
      <c r="AK82" s="132"/>
      <c r="AL82" s="132"/>
      <c r="AM82" s="132">
        <v>1.5</v>
      </c>
      <c r="AN82" s="132"/>
      <c r="AO82" s="132"/>
      <c r="AP82" s="132">
        <v>0</v>
      </c>
      <c r="AQ82" s="132"/>
      <c r="AR82" s="132"/>
      <c r="AS82" s="132">
        <v>1</v>
      </c>
      <c r="AT82" s="132"/>
      <c r="AU82" s="132"/>
      <c r="AV82" s="132">
        <v>1</v>
      </c>
      <c r="AW82" s="132"/>
      <c r="AX82" s="132"/>
      <c r="AY82" s="132">
        <v>1.5</v>
      </c>
      <c r="AZ82" s="132"/>
      <c r="BA82" s="132"/>
      <c r="BB82" s="132">
        <v>0.5</v>
      </c>
      <c r="BC82" s="132"/>
      <c r="BD82" s="132"/>
      <c r="BE82" s="132">
        <v>1</v>
      </c>
      <c r="BF82" s="132"/>
      <c r="BG82" s="132"/>
      <c r="BH82" s="132">
        <v>0.5</v>
      </c>
      <c r="BI82" s="132"/>
      <c r="BJ82" s="132"/>
      <c r="BK82" s="132">
        <v>0.5</v>
      </c>
      <c r="BL82" s="132"/>
      <c r="BM82" s="132"/>
      <c r="BN82" s="132">
        <v>0</v>
      </c>
      <c r="BO82" s="132">
        <v>0</v>
      </c>
      <c r="BP82" s="132">
        <v>0</v>
      </c>
      <c r="BQ82" s="132">
        <v>0</v>
      </c>
      <c r="BR82" s="132">
        <v>0</v>
      </c>
      <c r="BS82" s="132">
        <v>0</v>
      </c>
      <c r="BT82" s="132">
        <v>0</v>
      </c>
      <c r="BU82" s="132">
        <v>0</v>
      </c>
      <c r="BV82" s="132">
        <v>0</v>
      </c>
      <c r="BW82" s="132">
        <v>0</v>
      </c>
      <c r="BX82" s="132">
        <v>0</v>
      </c>
      <c r="BY82" s="132">
        <v>0</v>
      </c>
      <c r="BZ82" s="132">
        <v>0</v>
      </c>
      <c r="CA82" s="132">
        <v>0</v>
      </c>
      <c r="CB82" s="132">
        <v>0</v>
      </c>
      <c r="CC82" s="132">
        <v>0</v>
      </c>
      <c r="CD82" s="132"/>
      <c r="CE82" s="132"/>
      <c r="CF82" s="132">
        <v>0.5</v>
      </c>
      <c r="CG82" s="132"/>
      <c r="CH82" s="132"/>
      <c r="CI82" s="132">
        <v>0</v>
      </c>
      <c r="CJ82" s="132">
        <v>0</v>
      </c>
      <c r="CK82" s="132">
        <v>0</v>
      </c>
      <c r="CL82" s="132">
        <v>0</v>
      </c>
      <c r="CM82" s="132">
        <v>0</v>
      </c>
      <c r="CN82" s="132">
        <v>0</v>
      </c>
      <c r="CO82" s="132">
        <v>0</v>
      </c>
      <c r="CP82" s="132">
        <v>0</v>
      </c>
      <c r="CQ82" s="132">
        <v>0</v>
      </c>
      <c r="CR82" s="132">
        <v>0</v>
      </c>
      <c r="CS82" s="132">
        <v>0</v>
      </c>
      <c r="CT82" s="132">
        <v>0</v>
      </c>
      <c r="CU82" s="132">
        <v>0</v>
      </c>
      <c r="CV82" s="132">
        <v>0</v>
      </c>
      <c r="CW82" s="132">
        <v>0</v>
      </c>
      <c r="CX82" s="132">
        <v>0</v>
      </c>
      <c r="CY82" s="132"/>
      <c r="CZ82" s="132"/>
    </row>
    <row r="83" spans="1:104">
      <c r="A83" s="133" t="s">
        <v>27</v>
      </c>
      <c r="B83" s="134">
        <v>2</v>
      </c>
      <c r="C83" s="135">
        <v>2</v>
      </c>
      <c r="D83" s="146" t="s">
        <v>1591</v>
      </c>
      <c r="E83" s="135" t="s">
        <v>808</v>
      </c>
      <c r="F83" s="135">
        <v>2</v>
      </c>
      <c r="G83" s="168" t="s">
        <v>1592</v>
      </c>
      <c r="H83" s="137" t="s">
        <v>1593</v>
      </c>
      <c r="I83" s="135">
        <v>2</v>
      </c>
      <c r="J83" s="146" t="s">
        <v>1594</v>
      </c>
      <c r="K83" s="137" t="s">
        <v>1595</v>
      </c>
      <c r="L83" s="135">
        <v>1</v>
      </c>
      <c r="M83" s="168" t="s">
        <v>1596</v>
      </c>
      <c r="N83" s="194" t="s">
        <v>1597</v>
      </c>
      <c r="O83" s="135">
        <v>1</v>
      </c>
      <c r="P83" s="146" t="s">
        <v>1598</v>
      </c>
      <c r="Q83" s="135" t="s">
        <v>816</v>
      </c>
      <c r="R83" s="135">
        <v>0</v>
      </c>
      <c r="S83" s="141" t="s">
        <v>869</v>
      </c>
      <c r="T83" s="135" t="s">
        <v>869</v>
      </c>
      <c r="U83" s="135">
        <v>0</v>
      </c>
      <c r="V83" s="141" t="s">
        <v>869</v>
      </c>
      <c r="W83" s="141" t="s">
        <v>869</v>
      </c>
      <c r="X83" s="135">
        <v>1</v>
      </c>
      <c r="Y83" s="168" t="s">
        <v>1599</v>
      </c>
      <c r="Z83" s="137" t="s">
        <v>1600</v>
      </c>
      <c r="AA83" s="135">
        <v>0</v>
      </c>
      <c r="AB83" s="141" t="s">
        <v>869</v>
      </c>
      <c r="AC83" s="141" t="s">
        <v>869</v>
      </c>
      <c r="AD83" s="135">
        <v>0</v>
      </c>
      <c r="AE83" s="141" t="s">
        <v>869</v>
      </c>
      <c r="AF83" s="141" t="s">
        <v>869</v>
      </c>
      <c r="AG83" s="135">
        <v>1</v>
      </c>
      <c r="AH83" s="146" t="s">
        <v>1601</v>
      </c>
      <c r="AI83" s="135" t="s">
        <v>1602</v>
      </c>
      <c r="AJ83" s="135">
        <v>1</v>
      </c>
      <c r="AK83" s="146" t="s">
        <v>1603</v>
      </c>
      <c r="AL83" s="135" t="s">
        <v>830</v>
      </c>
      <c r="AM83" s="135">
        <v>1</v>
      </c>
      <c r="AN83" s="146" t="s">
        <v>1604</v>
      </c>
      <c r="AO83" s="137" t="s">
        <v>278</v>
      </c>
      <c r="AP83" s="135">
        <v>1</v>
      </c>
      <c r="AQ83" s="146" t="s">
        <v>1605</v>
      </c>
      <c r="AR83" s="135" t="s">
        <v>834</v>
      </c>
      <c r="AS83" s="135">
        <v>0</v>
      </c>
      <c r="AT83" s="141" t="s">
        <v>869</v>
      </c>
      <c r="AU83" s="141" t="s">
        <v>869</v>
      </c>
      <c r="AV83" s="135">
        <v>2</v>
      </c>
      <c r="AW83" s="146" t="s">
        <v>1606</v>
      </c>
      <c r="AX83" s="137" t="s">
        <v>1607</v>
      </c>
      <c r="AY83" s="135">
        <v>0</v>
      </c>
      <c r="AZ83" s="141" t="s">
        <v>869</v>
      </c>
      <c r="BA83" s="141" t="s">
        <v>869</v>
      </c>
      <c r="BB83" s="135">
        <v>0</v>
      </c>
      <c r="BC83" s="141" t="s">
        <v>869</v>
      </c>
      <c r="BD83" s="141" t="s">
        <v>869</v>
      </c>
      <c r="BE83" s="135">
        <v>0</v>
      </c>
      <c r="BF83" s="141" t="s">
        <v>869</v>
      </c>
      <c r="BG83" s="141" t="s">
        <v>869</v>
      </c>
      <c r="BH83" s="135">
        <v>0</v>
      </c>
      <c r="BI83" s="141" t="s">
        <v>869</v>
      </c>
      <c r="BJ83" s="141" t="s">
        <v>869</v>
      </c>
      <c r="BK83" s="135">
        <v>0</v>
      </c>
      <c r="BL83" s="141" t="s">
        <v>869</v>
      </c>
      <c r="BM83" s="141" t="s">
        <v>869</v>
      </c>
      <c r="BN83" s="135">
        <v>0</v>
      </c>
      <c r="BO83" s="141" t="s">
        <v>869</v>
      </c>
      <c r="BP83" s="141" t="s">
        <v>869</v>
      </c>
      <c r="BQ83" s="135">
        <v>1</v>
      </c>
      <c r="BR83" s="146" t="s">
        <v>1608</v>
      </c>
      <c r="BS83" s="137" t="s">
        <v>1609</v>
      </c>
      <c r="BT83" s="135">
        <v>0</v>
      </c>
      <c r="BU83" s="141" t="s">
        <v>869</v>
      </c>
      <c r="BV83" s="141" t="s">
        <v>869</v>
      </c>
      <c r="BW83" s="135">
        <v>0</v>
      </c>
      <c r="BX83" s="141" t="s">
        <v>869</v>
      </c>
      <c r="BY83" s="141" t="s">
        <v>869</v>
      </c>
      <c r="BZ83" s="135">
        <v>0</v>
      </c>
      <c r="CA83" s="141" t="s">
        <v>869</v>
      </c>
      <c r="CB83" s="141" t="s">
        <v>869</v>
      </c>
      <c r="CC83" s="135">
        <v>0</v>
      </c>
      <c r="CD83" s="141" t="s">
        <v>869</v>
      </c>
      <c r="CE83" s="141" t="s">
        <v>869</v>
      </c>
      <c r="CF83" s="135">
        <v>0</v>
      </c>
      <c r="CG83" s="141" t="s">
        <v>869</v>
      </c>
      <c r="CH83" s="141" t="s">
        <v>869</v>
      </c>
      <c r="CI83" s="135">
        <v>0</v>
      </c>
      <c r="CJ83" s="141" t="s">
        <v>869</v>
      </c>
      <c r="CK83" s="141" t="s">
        <v>869</v>
      </c>
      <c r="CL83" s="135">
        <v>0</v>
      </c>
      <c r="CM83" s="141" t="s">
        <v>869</v>
      </c>
      <c r="CN83" s="141" t="s">
        <v>869</v>
      </c>
      <c r="CO83" s="135">
        <v>0</v>
      </c>
      <c r="CP83" s="141" t="s">
        <v>869</v>
      </c>
      <c r="CQ83" s="141" t="s">
        <v>869</v>
      </c>
      <c r="CR83" s="135">
        <v>0</v>
      </c>
      <c r="CS83" s="141" t="s">
        <v>869</v>
      </c>
      <c r="CT83" s="141" t="s">
        <v>869</v>
      </c>
      <c r="CU83" s="135">
        <v>0</v>
      </c>
      <c r="CV83" s="141" t="s">
        <v>869</v>
      </c>
      <c r="CW83" s="141" t="s">
        <v>869</v>
      </c>
      <c r="CX83" s="135">
        <v>0</v>
      </c>
      <c r="CY83" s="141" t="s">
        <v>869</v>
      </c>
      <c r="CZ83" s="141" t="s">
        <v>869</v>
      </c>
    </row>
    <row r="84" spans="1:104">
      <c r="A84" s="133" t="s">
        <v>1610</v>
      </c>
      <c r="B84" s="134">
        <v>1</v>
      </c>
      <c r="C84" s="135">
        <v>0</v>
      </c>
      <c r="D84" s="141" t="s">
        <v>869</v>
      </c>
      <c r="E84" s="141" t="s">
        <v>869</v>
      </c>
      <c r="F84" s="135">
        <v>0</v>
      </c>
      <c r="G84" s="141" t="s">
        <v>869</v>
      </c>
      <c r="H84" s="141" t="s">
        <v>869</v>
      </c>
      <c r="I84" s="135">
        <v>0</v>
      </c>
      <c r="J84" s="141" t="s">
        <v>869</v>
      </c>
      <c r="K84" s="141" t="s">
        <v>869</v>
      </c>
      <c r="L84" s="135">
        <v>0</v>
      </c>
      <c r="M84" s="141" t="s">
        <v>869</v>
      </c>
      <c r="N84" s="141" t="s">
        <v>869</v>
      </c>
      <c r="O84" s="135">
        <v>0</v>
      </c>
      <c r="P84" s="141" t="s">
        <v>869</v>
      </c>
      <c r="Q84" s="141" t="s">
        <v>869</v>
      </c>
      <c r="R84" s="135">
        <v>0</v>
      </c>
      <c r="S84" s="141" t="s">
        <v>869</v>
      </c>
      <c r="T84" s="141" t="s">
        <v>869</v>
      </c>
      <c r="U84" s="135">
        <v>1</v>
      </c>
      <c r="V84" s="168" t="s">
        <v>1611</v>
      </c>
      <c r="W84" s="191" t="s">
        <v>1612</v>
      </c>
      <c r="X84" s="135">
        <v>0</v>
      </c>
      <c r="Y84" s="141" t="s">
        <v>869</v>
      </c>
      <c r="Z84" s="141" t="s">
        <v>869</v>
      </c>
      <c r="AA84" s="135">
        <v>0</v>
      </c>
      <c r="AB84" s="141" t="s">
        <v>869</v>
      </c>
      <c r="AC84" s="141" t="s">
        <v>869</v>
      </c>
      <c r="AD84" s="135">
        <v>0</v>
      </c>
      <c r="AE84" s="141" t="s">
        <v>869</v>
      </c>
      <c r="AF84" s="141" t="s">
        <v>869</v>
      </c>
      <c r="AG84" s="135">
        <v>0</v>
      </c>
      <c r="AH84" s="141" t="s">
        <v>869</v>
      </c>
      <c r="AI84" s="141" t="s">
        <v>869</v>
      </c>
      <c r="AJ84" s="135">
        <v>0</v>
      </c>
      <c r="AK84" s="141" t="s">
        <v>869</v>
      </c>
      <c r="AL84" s="141" t="s">
        <v>869</v>
      </c>
      <c r="AM84" s="135">
        <v>0</v>
      </c>
      <c r="AN84" s="141" t="s">
        <v>869</v>
      </c>
      <c r="AO84" s="141" t="s">
        <v>869</v>
      </c>
      <c r="AP84" s="135">
        <v>0</v>
      </c>
      <c r="AQ84" s="141" t="s">
        <v>869</v>
      </c>
      <c r="AR84" s="141" t="s">
        <v>869</v>
      </c>
      <c r="AS84" s="135">
        <v>0</v>
      </c>
      <c r="AT84" s="141" t="s">
        <v>869</v>
      </c>
      <c r="AU84" s="141" t="s">
        <v>869</v>
      </c>
      <c r="AV84" s="135">
        <v>0</v>
      </c>
      <c r="AW84" s="141" t="s">
        <v>869</v>
      </c>
      <c r="AX84" s="141" t="s">
        <v>869</v>
      </c>
      <c r="AY84" s="135">
        <v>0</v>
      </c>
      <c r="AZ84" s="141" t="s">
        <v>869</v>
      </c>
      <c r="BA84" s="141" t="s">
        <v>869</v>
      </c>
      <c r="BB84" s="135">
        <v>0</v>
      </c>
      <c r="BC84" s="141" t="s">
        <v>869</v>
      </c>
      <c r="BD84" s="141" t="s">
        <v>869</v>
      </c>
      <c r="BE84" s="135">
        <v>0</v>
      </c>
      <c r="BF84" s="141" t="s">
        <v>869</v>
      </c>
      <c r="BG84" s="141" t="s">
        <v>869</v>
      </c>
      <c r="BH84" s="135">
        <v>0</v>
      </c>
      <c r="BI84" s="141" t="s">
        <v>869</v>
      </c>
      <c r="BJ84" s="141" t="s">
        <v>869</v>
      </c>
      <c r="BK84" s="135">
        <v>1</v>
      </c>
      <c r="BL84" s="168" t="s">
        <v>1613</v>
      </c>
      <c r="BM84" s="137" t="s">
        <v>1575</v>
      </c>
      <c r="BN84" s="135">
        <v>0</v>
      </c>
      <c r="BO84" s="141" t="s">
        <v>869</v>
      </c>
      <c r="BP84" s="141" t="s">
        <v>869</v>
      </c>
      <c r="BQ84" s="135">
        <v>0</v>
      </c>
      <c r="BR84" s="141" t="s">
        <v>869</v>
      </c>
      <c r="BS84" s="141" t="s">
        <v>869</v>
      </c>
      <c r="BT84" s="135">
        <v>0</v>
      </c>
      <c r="BU84" s="141" t="s">
        <v>869</v>
      </c>
      <c r="BV84" s="141" t="s">
        <v>869</v>
      </c>
      <c r="BW84" s="135">
        <v>0</v>
      </c>
      <c r="BX84" s="141" t="s">
        <v>869</v>
      </c>
      <c r="BY84" s="141" t="s">
        <v>869</v>
      </c>
      <c r="BZ84" s="135">
        <v>0</v>
      </c>
      <c r="CA84" s="141" t="s">
        <v>869</v>
      </c>
      <c r="CB84" s="141" t="s">
        <v>869</v>
      </c>
      <c r="CC84" s="135">
        <v>0</v>
      </c>
      <c r="CD84" s="141" t="s">
        <v>869</v>
      </c>
      <c r="CE84" s="141" t="s">
        <v>869</v>
      </c>
      <c r="CF84" s="135">
        <v>0</v>
      </c>
      <c r="CG84" s="141" t="s">
        <v>869</v>
      </c>
      <c r="CH84" s="141" t="s">
        <v>869</v>
      </c>
      <c r="CI84" s="135">
        <v>0</v>
      </c>
      <c r="CJ84" s="141" t="s">
        <v>869</v>
      </c>
      <c r="CK84" s="141" t="s">
        <v>869</v>
      </c>
      <c r="CL84" s="135">
        <v>0</v>
      </c>
      <c r="CM84" s="141" t="s">
        <v>869</v>
      </c>
      <c r="CN84" s="141" t="s">
        <v>869</v>
      </c>
      <c r="CO84" s="135">
        <v>0</v>
      </c>
      <c r="CP84" s="141" t="s">
        <v>869</v>
      </c>
      <c r="CQ84" s="141" t="s">
        <v>869</v>
      </c>
      <c r="CR84" s="135">
        <v>0</v>
      </c>
      <c r="CS84" s="141" t="s">
        <v>869</v>
      </c>
      <c r="CT84" s="141" t="s">
        <v>869</v>
      </c>
      <c r="CU84" s="135">
        <v>0</v>
      </c>
      <c r="CV84" s="141" t="s">
        <v>869</v>
      </c>
      <c r="CW84" s="141" t="s">
        <v>869</v>
      </c>
      <c r="CX84" s="135">
        <v>0</v>
      </c>
      <c r="CY84" s="141" t="s">
        <v>869</v>
      </c>
      <c r="CZ84" s="141" t="s">
        <v>869</v>
      </c>
    </row>
    <row r="85" spans="1:104">
      <c r="A85" s="133" t="s">
        <v>1614</v>
      </c>
      <c r="B85" s="134">
        <v>0.5</v>
      </c>
      <c r="C85" s="135">
        <v>0.5</v>
      </c>
      <c r="D85" s="146" t="s">
        <v>1615</v>
      </c>
      <c r="E85" s="135" t="s">
        <v>808</v>
      </c>
      <c r="F85" s="135">
        <v>0.5</v>
      </c>
      <c r="G85" s="146" t="s">
        <v>1616</v>
      </c>
      <c r="H85" s="137" t="s">
        <v>1105</v>
      </c>
      <c r="I85" s="135">
        <v>0.5</v>
      </c>
      <c r="J85" s="146" t="s">
        <v>1691</v>
      </c>
      <c r="K85" s="137" t="s">
        <v>1575</v>
      </c>
      <c r="L85" s="135">
        <v>0</v>
      </c>
      <c r="M85" s="141" t="s">
        <v>869</v>
      </c>
      <c r="N85" s="141" t="s">
        <v>869</v>
      </c>
      <c r="O85" s="135">
        <v>0</v>
      </c>
      <c r="P85" s="141" t="s">
        <v>869</v>
      </c>
      <c r="Q85" s="141" t="s">
        <v>869</v>
      </c>
      <c r="R85" s="135">
        <v>0.5</v>
      </c>
      <c r="S85" s="146" t="s">
        <v>1692</v>
      </c>
      <c r="T85" s="137" t="s">
        <v>1693</v>
      </c>
      <c r="U85" s="135">
        <v>0</v>
      </c>
      <c r="V85" s="141" t="s">
        <v>869</v>
      </c>
      <c r="W85" s="141" t="s">
        <v>869</v>
      </c>
      <c r="X85" s="135">
        <v>0</v>
      </c>
      <c r="Y85" s="141" t="s">
        <v>869</v>
      </c>
      <c r="Z85" s="141" t="s">
        <v>869</v>
      </c>
      <c r="AA85" s="135">
        <v>0</v>
      </c>
      <c r="AB85" s="141" t="s">
        <v>869</v>
      </c>
      <c r="AC85" s="141" t="s">
        <v>869</v>
      </c>
      <c r="AD85" s="135">
        <v>0</v>
      </c>
      <c r="AE85" s="141" t="s">
        <v>869</v>
      </c>
      <c r="AF85" s="141" t="s">
        <v>869</v>
      </c>
      <c r="AG85" s="135">
        <v>0</v>
      </c>
      <c r="AH85" s="141" t="s">
        <v>869</v>
      </c>
      <c r="AI85" s="141" t="s">
        <v>869</v>
      </c>
      <c r="AJ85" s="135">
        <v>0</v>
      </c>
      <c r="AK85" s="141" t="s">
        <v>869</v>
      </c>
      <c r="AL85" s="141" t="s">
        <v>869</v>
      </c>
      <c r="AM85" s="135">
        <v>0.5</v>
      </c>
      <c r="AN85" s="146" t="s">
        <v>1694</v>
      </c>
      <c r="AO85" s="137" t="s">
        <v>1695</v>
      </c>
      <c r="AP85" s="135">
        <v>0.5</v>
      </c>
      <c r="AQ85" s="146" t="s">
        <v>1696</v>
      </c>
      <c r="AR85" s="135" t="s">
        <v>834</v>
      </c>
      <c r="AS85" s="135">
        <v>0</v>
      </c>
      <c r="AT85" s="141" t="s">
        <v>869</v>
      </c>
      <c r="AU85" s="141" t="s">
        <v>869</v>
      </c>
      <c r="AV85" s="135">
        <v>0</v>
      </c>
      <c r="AW85" s="141" t="s">
        <v>869</v>
      </c>
      <c r="AX85" s="141" t="s">
        <v>869</v>
      </c>
      <c r="AY85" s="135">
        <v>0</v>
      </c>
      <c r="AZ85" s="141" t="s">
        <v>869</v>
      </c>
      <c r="BA85" s="141" t="s">
        <v>869</v>
      </c>
      <c r="BB85" s="135">
        <v>0</v>
      </c>
      <c r="BC85" s="141" t="s">
        <v>869</v>
      </c>
      <c r="BD85" s="141" t="s">
        <v>869</v>
      </c>
      <c r="BE85" s="135">
        <v>0</v>
      </c>
      <c r="BF85" s="141" t="s">
        <v>869</v>
      </c>
      <c r="BG85" s="141" t="s">
        <v>869</v>
      </c>
      <c r="BH85" s="135">
        <v>0</v>
      </c>
      <c r="BI85" s="141" t="s">
        <v>869</v>
      </c>
      <c r="BJ85" s="141" t="s">
        <v>869</v>
      </c>
      <c r="BK85" s="135">
        <v>0</v>
      </c>
      <c r="BL85" s="141" t="s">
        <v>869</v>
      </c>
      <c r="BM85" s="141" t="s">
        <v>869</v>
      </c>
      <c r="BN85" s="135">
        <v>0.5</v>
      </c>
      <c r="BO85" s="146" t="s">
        <v>1697</v>
      </c>
      <c r="BP85" s="137" t="s">
        <v>1698</v>
      </c>
      <c r="BQ85" s="135">
        <v>0</v>
      </c>
      <c r="BR85" s="141" t="s">
        <v>869</v>
      </c>
      <c r="BS85" s="141" t="s">
        <v>869</v>
      </c>
      <c r="BT85" s="135">
        <v>0</v>
      </c>
      <c r="BU85" s="141" t="s">
        <v>869</v>
      </c>
      <c r="BV85" s="141" t="s">
        <v>869</v>
      </c>
      <c r="BW85" s="135">
        <v>0</v>
      </c>
      <c r="BX85" s="141" t="s">
        <v>869</v>
      </c>
      <c r="BY85" s="141" t="s">
        <v>869</v>
      </c>
      <c r="BZ85" s="135">
        <v>0</v>
      </c>
      <c r="CA85" s="141" t="s">
        <v>869</v>
      </c>
      <c r="CB85" s="141" t="s">
        <v>869</v>
      </c>
      <c r="CC85" s="135">
        <v>0</v>
      </c>
      <c r="CD85" s="141" t="s">
        <v>869</v>
      </c>
      <c r="CE85" s="141" t="s">
        <v>869</v>
      </c>
      <c r="CF85" s="135">
        <v>0.5</v>
      </c>
      <c r="CG85" s="146" t="s">
        <v>1699</v>
      </c>
      <c r="CH85" s="137" t="s">
        <v>1575</v>
      </c>
      <c r="CI85" s="135">
        <v>0</v>
      </c>
      <c r="CJ85" s="141" t="s">
        <v>869</v>
      </c>
      <c r="CK85" s="141" t="s">
        <v>869</v>
      </c>
      <c r="CL85" s="135">
        <v>0</v>
      </c>
      <c r="CM85" s="141" t="s">
        <v>869</v>
      </c>
      <c r="CN85" s="141" t="s">
        <v>869</v>
      </c>
      <c r="CO85" s="135">
        <v>0</v>
      </c>
      <c r="CP85" s="141" t="s">
        <v>869</v>
      </c>
      <c r="CQ85" s="141" t="s">
        <v>869</v>
      </c>
      <c r="CR85" s="135">
        <v>0</v>
      </c>
      <c r="CS85" s="141" t="s">
        <v>869</v>
      </c>
      <c r="CT85" s="141" t="s">
        <v>869</v>
      </c>
      <c r="CU85" s="135">
        <v>0</v>
      </c>
      <c r="CV85" s="141" t="s">
        <v>869</v>
      </c>
      <c r="CW85" s="141" t="s">
        <v>869</v>
      </c>
      <c r="CX85" s="135">
        <v>0</v>
      </c>
      <c r="CY85" s="141" t="s">
        <v>869</v>
      </c>
      <c r="CZ85" s="141" t="s">
        <v>869</v>
      </c>
    </row>
    <row r="86" spans="1:104">
      <c r="A86" s="133"/>
      <c r="B86" s="134"/>
      <c r="C86" s="135"/>
      <c r="D86" s="146"/>
      <c r="E86" s="135"/>
      <c r="F86" s="135"/>
      <c r="G86" s="146"/>
      <c r="H86" s="137"/>
      <c r="I86" s="135"/>
      <c r="J86" s="146"/>
      <c r="K86" s="137"/>
      <c r="L86" s="135"/>
      <c r="M86" s="141"/>
      <c r="N86" s="141"/>
      <c r="O86" s="135"/>
      <c r="P86" s="141"/>
      <c r="Q86" s="141"/>
      <c r="R86" s="135"/>
      <c r="S86" s="146"/>
      <c r="T86" s="137"/>
      <c r="U86" s="135"/>
      <c r="V86" s="141"/>
      <c r="W86" s="141"/>
      <c r="X86" s="135"/>
      <c r="Y86" s="141"/>
      <c r="Z86" s="141"/>
      <c r="AA86" s="135"/>
      <c r="AB86" s="141"/>
      <c r="AC86" s="141"/>
      <c r="AD86" s="135"/>
      <c r="AE86" s="141"/>
      <c r="AF86" s="141"/>
      <c r="AG86" s="135"/>
      <c r="AH86" s="141"/>
      <c r="AI86" s="141"/>
      <c r="AJ86" s="135"/>
      <c r="AK86" s="141"/>
      <c r="AL86" s="141"/>
      <c r="AM86" s="135"/>
      <c r="AN86" s="146"/>
      <c r="AO86" s="137"/>
      <c r="AP86" s="135"/>
      <c r="AQ86" s="146"/>
      <c r="AR86" s="135"/>
      <c r="AS86" s="135"/>
      <c r="AT86" s="141"/>
      <c r="AU86" s="141"/>
      <c r="AV86" s="135"/>
      <c r="AW86" s="141"/>
      <c r="AX86" s="141"/>
      <c r="AY86" s="135"/>
      <c r="AZ86" s="141"/>
      <c r="BA86" s="141"/>
      <c r="BB86" s="135"/>
      <c r="BC86" s="141"/>
      <c r="BD86" s="141"/>
      <c r="BE86" s="135"/>
      <c r="BF86" s="141"/>
      <c r="BG86" s="141"/>
      <c r="BH86" s="135"/>
      <c r="BI86" s="141"/>
      <c r="BJ86" s="141"/>
      <c r="BK86" s="135"/>
      <c r="BL86" s="141"/>
      <c r="BM86" s="141"/>
      <c r="BN86" s="135"/>
      <c r="BO86" s="146"/>
      <c r="BP86" s="137"/>
      <c r="BQ86" s="135"/>
      <c r="BR86" s="141"/>
      <c r="BS86" s="141"/>
      <c r="BT86" s="135"/>
      <c r="BU86" s="141"/>
      <c r="BV86" s="141"/>
      <c r="BW86" s="135"/>
      <c r="BX86" s="141"/>
      <c r="BY86" s="141"/>
      <c r="BZ86" s="135"/>
      <c r="CA86" s="141"/>
      <c r="CB86" s="141"/>
      <c r="CC86" s="135"/>
      <c r="CD86" s="141"/>
      <c r="CE86" s="141"/>
      <c r="CF86" s="135"/>
      <c r="CG86" s="146"/>
      <c r="CH86" s="137"/>
      <c r="CI86" s="135"/>
      <c r="CJ86" s="141"/>
      <c r="CK86" s="141"/>
      <c r="CL86" s="135"/>
      <c r="CM86" s="141"/>
      <c r="CN86" s="141"/>
      <c r="CO86" s="135"/>
      <c r="CP86" s="141"/>
      <c r="CQ86" s="141"/>
      <c r="CR86" s="135"/>
      <c r="CS86" s="141"/>
      <c r="CT86" s="141"/>
      <c r="CU86" s="135"/>
      <c r="CV86" s="141"/>
      <c r="CW86" s="141"/>
      <c r="CX86" s="135"/>
      <c r="CY86" s="141"/>
      <c r="CZ86" s="141"/>
    </row>
    <row r="87" spans="1:104">
      <c r="A87" s="199" t="s">
        <v>1700</v>
      </c>
      <c r="B87" s="200">
        <f>B66+B53+B33+B22+B3</f>
        <v>100</v>
      </c>
      <c r="C87" s="200">
        <f t="shared" ref="C87:BN87" si="44">C66+C53+C33+C22+C3</f>
        <v>76.75</v>
      </c>
      <c r="D87" s="200" t="e">
        <f t="shared" si="44"/>
        <v>#VALUE!</v>
      </c>
      <c r="E87" s="200" t="e">
        <f t="shared" si="44"/>
        <v>#VALUE!</v>
      </c>
      <c r="F87" s="200">
        <f t="shared" si="44"/>
        <v>70</v>
      </c>
      <c r="G87" s="200" t="e">
        <f t="shared" si="44"/>
        <v>#VALUE!</v>
      </c>
      <c r="H87" s="200" t="e">
        <f t="shared" si="44"/>
        <v>#VALUE!</v>
      </c>
      <c r="I87" s="200">
        <f t="shared" si="44"/>
        <v>69.75</v>
      </c>
      <c r="J87" s="200" t="e">
        <f t="shared" si="44"/>
        <v>#VALUE!</v>
      </c>
      <c r="K87" s="200" t="e">
        <f t="shared" si="44"/>
        <v>#VALUE!</v>
      </c>
      <c r="L87" s="200">
        <f t="shared" si="44"/>
        <v>69.75</v>
      </c>
      <c r="M87" s="200" t="e">
        <f t="shared" si="44"/>
        <v>#VALUE!</v>
      </c>
      <c r="N87" s="200" t="e">
        <f t="shared" si="44"/>
        <v>#VALUE!</v>
      </c>
      <c r="O87" s="200">
        <f t="shared" si="44"/>
        <v>65.25</v>
      </c>
      <c r="P87" s="200" t="e">
        <f t="shared" si="44"/>
        <v>#VALUE!</v>
      </c>
      <c r="Q87" s="200" t="e">
        <f t="shared" si="44"/>
        <v>#VALUE!</v>
      </c>
      <c r="R87" s="200">
        <f t="shared" si="44"/>
        <v>62</v>
      </c>
      <c r="S87" s="200" t="e">
        <f t="shared" si="44"/>
        <v>#VALUE!</v>
      </c>
      <c r="T87" s="200" t="e">
        <f t="shared" si="44"/>
        <v>#VALUE!</v>
      </c>
      <c r="U87" s="200">
        <f t="shared" si="44"/>
        <v>56</v>
      </c>
      <c r="V87" s="200" t="e">
        <f t="shared" si="44"/>
        <v>#VALUE!</v>
      </c>
      <c r="W87" s="200" t="e">
        <f t="shared" si="44"/>
        <v>#VALUE!</v>
      </c>
      <c r="X87" s="200">
        <f t="shared" si="44"/>
        <v>55.25</v>
      </c>
      <c r="Y87" s="200" t="e">
        <f t="shared" si="44"/>
        <v>#VALUE!</v>
      </c>
      <c r="Z87" s="200" t="e">
        <f t="shared" si="44"/>
        <v>#VALUE!</v>
      </c>
      <c r="AA87" s="200">
        <f t="shared" si="44"/>
        <v>54.75</v>
      </c>
      <c r="AB87" s="200" t="e">
        <f t="shared" si="44"/>
        <v>#VALUE!</v>
      </c>
      <c r="AC87" s="200" t="e">
        <f t="shared" si="44"/>
        <v>#VALUE!</v>
      </c>
      <c r="AD87" s="200">
        <f t="shared" si="44"/>
        <v>54.5</v>
      </c>
      <c r="AE87" s="200" t="e">
        <f t="shared" si="44"/>
        <v>#VALUE!</v>
      </c>
      <c r="AF87" s="200" t="e">
        <f t="shared" si="44"/>
        <v>#VALUE!</v>
      </c>
      <c r="AG87" s="200">
        <f t="shared" si="44"/>
        <v>52.75</v>
      </c>
      <c r="AH87" s="200" t="e">
        <f t="shared" si="44"/>
        <v>#VALUE!</v>
      </c>
      <c r="AI87" s="200" t="e">
        <f t="shared" si="44"/>
        <v>#VALUE!</v>
      </c>
      <c r="AJ87" s="200">
        <f t="shared" si="44"/>
        <v>46.5</v>
      </c>
      <c r="AK87" s="200" t="e">
        <f t="shared" si="44"/>
        <v>#VALUE!</v>
      </c>
      <c r="AL87" s="200" t="e">
        <f t="shared" si="44"/>
        <v>#VALUE!</v>
      </c>
      <c r="AM87" s="200">
        <f t="shared" si="44"/>
        <v>45.25</v>
      </c>
      <c r="AN87" s="200" t="e">
        <f t="shared" si="44"/>
        <v>#VALUE!</v>
      </c>
      <c r="AO87" s="200" t="e">
        <f t="shared" si="44"/>
        <v>#VALUE!</v>
      </c>
      <c r="AP87" s="200">
        <f t="shared" si="44"/>
        <v>44.25</v>
      </c>
      <c r="AQ87" s="200" t="e">
        <f t="shared" si="44"/>
        <v>#VALUE!</v>
      </c>
      <c r="AR87" s="200" t="e">
        <f t="shared" si="44"/>
        <v>#VALUE!</v>
      </c>
      <c r="AS87" s="200">
        <f t="shared" si="44"/>
        <v>43.5</v>
      </c>
      <c r="AT87" s="200" t="e">
        <f t="shared" si="44"/>
        <v>#VALUE!</v>
      </c>
      <c r="AU87" s="200" t="e">
        <f t="shared" si="44"/>
        <v>#VALUE!</v>
      </c>
      <c r="AV87" s="200">
        <f t="shared" si="44"/>
        <v>42.5</v>
      </c>
      <c r="AW87" s="200" t="e">
        <f t="shared" si="44"/>
        <v>#VALUE!</v>
      </c>
      <c r="AX87" s="200" t="e">
        <f t="shared" si="44"/>
        <v>#VALUE!</v>
      </c>
      <c r="AY87" s="200">
        <f t="shared" si="44"/>
        <v>42.5</v>
      </c>
      <c r="AZ87" s="200" t="e">
        <f t="shared" si="44"/>
        <v>#VALUE!</v>
      </c>
      <c r="BA87" s="200" t="e">
        <f t="shared" si="44"/>
        <v>#VALUE!</v>
      </c>
      <c r="BB87" s="200">
        <f t="shared" si="44"/>
        <v>40.75</v>
      </c>
      <c r="BC87" s="200" t="e">
        <f t="shared" si="44"/>
        <v>#VALUE!</v>
      </c>
      <c r="BD87" s="200" t="e">
        <f t="shared" si="44"/>
        <v>#VALUE!</v>
      </c>
      <c r="BE87" s="200">
        <f t="shared" si="44"/>
        <v>38.5</v>
      </c>
      <c r="BF87" s="200" t="e">
        <f t="shared" si="44"/>
        <v>#VALUE!</v>
      </c>
      <c r="BG87" s="200" t="e">
        <f t="shared" si="44"/>
        <v>#VALUE!</v>
      </c>
      <c r="BH87" s="200">
        <f t="shared" si="44"/>
        <v>38.25</v>
      </c>
      <c r="BI87" s="200" t="e">
        <f t="shared" si="44"/>
        <v>#VALUE!</v>
      </c>
      <c r="BJ87" s="200" t="e">
        <f t="shared" si="44"/>
        <v>#VALUE!</v>
      </c>
      <c r="BK87" s="200">
        <f t="shared" si="44"/>
        <v>37.25</v>
      </c>
      <c r="BL87" s="200" t="e">
        <f t="shared" si="44"/>
        <v>#VALUE!</v>
      </c>
      <c r="BM87" s="200" t="e">
        <f t="shared" si="44"/>
        <v>#VALUE!</v>
      </c>
      <c r="BN87" s="200">
        <f t="shared" si="44"/>
        <v>37.25</v>
      </c>
      <c r="BO87" s="200" t="e">
        <f t="shared" ref="BO87:CX87" si="45">BO66+BO53+BO33+BO22+BO3</f>
        <v>#VALUE!</v>
      </c>
      <c r="BP87" s="200" t="e">
        <f t="shared" si="45"/>
        <v>#VALUE!</v>
      </c>
      <c r="BQ87" s="200">
        <f t="shared" si="45"/>
        <v>36.25</v>
      </c>
      <c r="BR87" s="200" t="e">
        <f t="shared" si="45"/>
        <v>#VALUE!</v>
      </c>
      <c r="BS87" s="200" t="e">
        <f t="shared" si="45"/>
        <v>#VALUE!</v>
      </c>
      <c r="BT87" s="200">
        <f t="shared" si="45"/>
        <v>36.25</v>
      </c>
      <c r="BU87" s="200" t="e">
        <f t="shared" si="45"/>
        <v>#VALUE!</v>
      </c>
      <c r="BV87" s="200" t="e">
        <f t="shared" si="45"/>
        <v>#VALUE!</v>
      </c>
      <c r="BW87" s="200">
        <f t="shared" si="45"/>
        <v>34.25</v>
      </c>
      <c r="BX87" s="200" t="e">
        <f t="shared" si="45"/>
        <v>#VALUE!</v>
      </c>
      <c r="BY87" s="200" t="e">
        <f t="shared" si="45"/>
        <v>#VALUE!</v>
      </c>
      <c r="BZ87" s="200">
        <f t="shared" si="45"/>
        <v>32.75</v>
      </c>
      <c r="CA87" s="200" t="e">
        <f t="shared" si="45"/>
        <v>#VALUE!</v>
      </c>
      <c r="CB87" s="200" t="e">
        <f t="shared" si="45"/>
        <v>#VALUE!</v>
      </c>
      <c r="CC87" s="200">
        <f t="shared" si="45"/>
        <v>32</v>
      </c>
      <c r="CD87" s="200" t="e">
        <f t="shared" si="45"/>
        <v>#VALUE!</v>
      </c>
      <c r="CE87" s="200" t="e">
        <f t="shared" si="45"/>
        <v>#VALUE!</v>
      </c>
      <c r="CF87" s="200">
        <f t="shared" si="45"/>
        <v>31.5</v>
      </c>
      <c r="CG87" s="200" t="e">
        <f t="shared" si="45"/>
        <v>#VALUE!</v>
      </c>
      <c r="CH87" s="200" t="e">
        <f t="shared" si="45"/>
        <v>#VALUE!</v>
      </c>
      <c r="CI87" s="200">
        <f t="shared" si="45"/>
        <v>28.25</v>
      </c>
      <c r="CJ87" s="200" t="e">
        <f t="shared" si="45"/>
        <v>#VALUE!</v>
      </c>
      <c r="CK87" s="200" t="e">
        <f t="shared" si="45"/>
        <v>#VALUE!</v>
      </c>
      <c r="CL87" s="200">
        <f t="shared" si="45"/>
        <v>26.75</v>
      </c>
      <c r="CM87" s="200" t="e">
        <f t="shared" si="45"/>
        <v>#VALUE!</v>
      </c>
      <c r="CN87" s="200" t="e">
        <f t="shared" si="45"/>
        <v>#VALUE!</v>
      </c>
      <c r="CO87" s="200">
        <f t="shared" si="45"/>
        <v>23.75</v>
      </c>
      <c r="CP87" s="200" t="e">
        <f t="shared" si="45"/>
        <v>#VALUE!</v>
      </c>
      <c r="CQ87" s="200" t="e">
        <f t="shared" si="45"/>
        <v>#VALUE!</v>
      </c>
      <c r="CR87" s="200">
        <f t="shared" si="45"/>
        <v>23.5</v>
      </c>
      <c r="CS87" s="200" t="e">
        <f t="shared" si="45"/>
        <v>#VALUE!</v>
      </c>
      <c r="CT87" s="200" t="e">
        <f t="shared" si="45"/>
        <v>#VALUE!</v>
      </c>
      <c r="CU87" s="200">
        <f t="shared" si="45"/>
        <v>19</v>
      </c>
      <c r="CV87" s="200" t="e">
        <f t="shared" si="45"/>
        <v>#VALUE!</v>
      </c>
      <c r="CW87" s="200" t="e">
        <f t="shared" si="45"/>
        <v>#VALUE!</v>
      </c>
      <c r="CX87" s="200">
        <f t="shared" si="45"/>
        <v>17.25</v>
      </c>
      <c r="CY87" s="200"/>
      <c r="CZ87" s="200"/>
    </row>
    <row r="88" spans="1:104">
      <c r="C88" s="135"/>
      <c r="F88" s="135"/>
      <c r="I88" s="135"/>
      <c r="O88" s="135"/>
      <c r="X88" s="135"/>
      <c r="AA88" s="135"/>
      <c r="AJ88" s="135"/>
      <c r="AP88" s="135"/>
      <c r="AS88" s="135"/>
      <c r="BB88" s="135"/>
    </row>
    <row r="90" spans="1:104">
      <c r="A90" s="201" t="s">
        <v>782</v>
      </c>
    </row>
    <row r="91" spans="1:104">
      <c r="A91" s="159" t="s">
        <v>772</v>
      </c>
    </row>
    <row r="92" spans="1:104">
      <c r="A92" s="177" t="s">
        <v>778</v>
      </c>
    </row>
    <row r="93" spans="1:104">
      <c r="A93" s="159" t="s">
        <v>767</v>
      </c>
    </row>
    <row r="94" spans="1:104">
      <c r="A94" s="177" t="s">
        <v>796</v>
      </c>
    </row>
    <row r="95" spans="1:104">
      <c r="A95" s="177" t="s">
        <v>775</v>
      </c>
    </row>
    <row r="96" spans="1:104">
      <c r="A96" s="152" t="s">
        <v>784</v>
      </c>
    </row>
    <row r="97" spans="1:1">
      <c r="A97" s="202" t="s">
        <v>780</v>
      </c>
    </row>
    <row r="98" spans="1:1">
      <c r="A98" s="202" t="s">
        <v>777</v>
      </c>
    </row>
    <row r="99" spans="1:1">
      <c r="A99" s="201" t="s">
        <v>798</v>
      </c>
    </row>
    <row r="100" spans="1:1">
      <c r="A100" s="202" t="s">
        <v>788</v>
      </c>
    </row>
    <row r="101" spans="1:1">
      <c r="A101" s="202" t="s">
        <v>791</v>
      </c>
    </row>
    <row r="102" spans="1:1">
      <c r="A102" s="202" t="s">
        <v>779</v>
      </c>
    </row>
    <row r="103" spans="1:1">
      <c r="A103" s="202" t="s">
        <v>794</v>
      </c>
    </row>
    <row r="104" spans="1:1">
      <c r="A104" s="202" t="s">
        <v>799</v>
      </c>
    </row>
    <row r="105" spans="1:1">
      <c r="A105" s="203" t="s">
        <v>793</v>
      </c>
    </row>
    <row r="106" spans="1:1">
      <c r="A106" s="202" t="s">
        <v>797</v>
      </c>
    </row>
    <row r="107" spans="1:1">
      <c r="A107" s="202" t="s">
        <v>792</v>
      </c>
    </row>
    <row r="108" spans="1:1">
      <c r="A108" s="201" t="s">
        <v>774</v>
      </c>
    </row>
    <row r="109" spans="1:1">
      <c r="A109" s="202" t="s">
        <v>770</v>
      </c>
    </row>
    <row r="110" spans="1:1">
      <c r="A110" s="201" t="s">
        <v>776</v>
      </c>
    </row>
    <row r="111" spans="1:1">
      <c r="A111" s="204" t="s">
        <v>781</v>
      </c>
    </row>
    <row r="112" spans="1:1">
      <c r="A112" s="201" t="s">
        <v>790</v>
      </c>
    </row>
    <row r="113" spans="1:1">
      <c r="A113" s="204" t="s">
        <v>768</v>
      </c>
    </row>
    <row r="114" spans="1:1">
      <c r="A114" s="204" t="s">
        <v>786</v>
      </c>
    </row>
    <row r="115" spans="1:1">
      <c r="A115" s="201" t="s">
        <v>783</v>
      </c>
    </row>
    <row r="116" spans="1:1">
      <c r="A116" s="201" t="s">
        <v>1701</v>
      </c>
    </row>
    <row r="117" spans="1:1">
      <c r="A117" s="204" t="s">
        <v>785</v>
      </c>
    </row>
    <row r="118" spans="1:1">
      <c r="A118" s="159" t="s">
        <v>769</v>
      </c>
    </row>
    <row r="119" spans="1:1">
      <c r="A119" s="201" t="s">
        <v>787</v>
      </c>
    </row>
    <row r="120" spans="1:1">
      <c r="A120" s="202" t="s">
        <v>771</v>
      </c>
    </row>
    <row r="121" spans="1:1">
      <c r="A121" s="201" t="s">
        <v>789</v>
      </c>
    </row>
    <row r="122" spans="1:1">
      <c r="A122" s="202" t="s">
        <v>795</v>
      </c>
    </row>
    <row r="123" spans="1:1">
      <c r="A123" s="202" t="s">
        <v>773</v>
      </c>
    </row>
  </sheetData>
  <mergeCells count="34">
    <mergeCell ref="BK1:BM1"/>
    <mergeCell ref="R1:T1"/>
    <mergeCell ref="U1:W1"/>
    <mergeCell ref="C1:E1"/>
    <mergeCell ref="F1:H1"/>
    <mergeCell ref="I1:K1"/>
    <mergeCell ref="L1:N1"/>
    <mergeCell ref="O1:Q1"/>
    <mergeCell ref="AD1:AF1"/>
    <mergeCell ref="AG1:AI1"/>
    <mergeCell ref="AJ1:AL1"/>
    <mergeCell ref="X1:Z1"/>
    <mergeCell ref="AA1:AC1"/>
    <mergeCell ref="BH1:BJ1"/>
    <mergeCell ref="BT1:BV1"/>
    <mergeCell ref="AM1:AO1"/>
    <mergeCell ref="AP1:AR1"/>
    <mergeCell ref="AS1:AU1"/>
    <mergeCell ref="AV1:AX1"/>
    <mergeCell ref="AY1:BA1"/>
    <mergeCell ref="BB1:BD1"/>
    <mergeCell ref="BE1:BG1"/>
    <mergeCell ref="BQ1:BS1"/>
    <mergeCell ref="BN1:BP1"/>
    <mergeCell ref="CU1:CW1"/>
    <mergeCell ref="CX1:CZ1"/>
    <mergeCell ref="BW1:BY1"/>
    <mergeCell ref="BZ1:CB1"/>
    <mergeCell ref="CC1:CE1"/>
    <mergeCell ref="CF1:CH1"/>
    <mergeCell ref="CO1:CQ1"/>
    <mergeCell ref="CR1:CT1"/>
    <mergeCell ref="CI1:CK1"/>
    <mergeCell ref="CL1:CN1"/>
  </mergeCells>
  <phoneticPr fontId="43" type="noConversion"/>
  <hyperlinks>
    <hyperlink ref="Z29" r:id="rId1"/>
    <hyperlink ref="N29" r:id="rId2"/>
    <hyperlink ref="AF29" r:id="rId3" display="Greenworks Philadelphia"/>
    <hyperlink ref="H29" r:id="rId4" display="Portland Climate Action Plan"/>
    <hyperlink ref="BD29" r:id="rId5" display="http://www.sacgp.org/documents/2__Adopted_CAP_whole.pdf"/>
    <hyperlink ref="BA29" r:id="rId6"/>
    <hyperlink ref="BP29" r:id="rId7" display="http://www.sanjoseca.gov/DocumentCenter/Home/View/474"/>
    <hyperlink ref="Q29" r:id="rId8" display="Ordinance Amending Comprehensive Plan"/>
    <hyperlink ref="AX29" r:id="rId9"/>
    <hyperlink ref="T29" r:id="rId10" display="Climate Action Report"/>
    <hyperlink ref="AL29" r:id="rId11" display="General Plan"/>
    <hyperlink ref="E29" r:id="rId12" display="http://www.cityofboston.gov/images_documents/A Climate of Progress - CAP Update 2011_tcm3-25020.pdf"/>
    <hyperlink ref="AC29" r:id="rId13" display="Sustainable Chicago 2015"/>
    <hyperlink ref="W29" r:id="rId14"/>
    <hyperlink ref="AI29" r:id="rId15" display="GreenPrint Denver"/>
    <hyperlink ref="AR29" r:id="rId16" display="Forward Dallas! Comprehensive Plan"/>
    <hyperlink ref="K29" r:id="rId17" display="http://sfmea.sfplanning.org/GHG_Reduction_Strategy.pdf"/>
    <hyperlink ref="BJ29" r:id="rId18"/>
    <hyperlink ref="BM29" r:id="rId19"/>
    <hyperlink ref="BS29" r:id="rId20" display="Plan El Paso"/>
    <hyperlink ref="BV29" r:id="rId21"/>
    <hyperlink ref="BY29" r:id="rId22"/>
    <hyperlink ref="CB29" r:id="rId23" display="http://www.dfwi.org/system/resources/BAhbBlsHOgZmIjIyMDEyLzA1LzI5L0RPRV9CZXR0ZXJfQnVpbGRpbmdzX0NoYWxsZW5nZS5wZGY/DOE_Better_Buildings_Challenge.pdf"/>
    <hyperlink ref="CE29" r:id="rId24" display="MiPlan: City of Miami Climate Action Plan"/>
    <hyperlink ref="CH29" r:id="rId25"/>
    <hyperlink ref="CN29" r:id="rId26"/>
    <hyperlink ref="CQ29" r:id="rId27"/>
    <hyperlink ref="CT29" r:id="rId28"/>
    <hyperlink ref="E27" r:id="rId29"/>
    <hyperlink ref="CQ27" r:id="rId30"/>
    <hyperlink ref="BG27" r:id="rId31"/>
    <hyperlink ref="BS27" r:id="rId32"/>
    <hyperlink ref="Z27" r:id="rId33"/>
    <hyperlink ref="N27" r:id="rId34"/>
    <hyperlink ref="AF27" r:id="rId35"/>
    <hyperlink ref="AU27" r:id="rId36"/>
    <hyperlink ref="H27" r:id="rId37"/>
    <hyperlink ref="Q27" r:id="rId38"/>
    <hyperlink ref="W27" r:id="rId39"/>
    <hyperlink ref="T27" r:id="rId40"/>
    <hyperlink ref="K27" r:id="rId41"/>
    <hyperlink ref="K24" r:id="rId42"/>
    <hyperlink ref="N24" r:id="rId43"/>
    <hyperlink ref="AC24" r:id="rId44"/>
    <hyperlink ref="AI27" r:id="rId45"/>
    <hyperlink ref="AL27" r:id="rId46"/>
    <hyperlink ref="AX24" r:id="rId47"/>
    <hyperlink ref="BM24" r:id="rId48"/>
    <hyperlink ref="BY24" r:id="rId49"/>
    <hyperlink ref="CB24" r:id="rId50"/>
    <hyperlink ref="CH24" r:id="rId51"/>
    <hyperlink ref="CQ24" r:id="rId52"/>
    <hyperlink ref="CZ24" r:id="rId53"/>
    <hyperlink ref="E37" r:id="rId54"/>
    <hyperlink ref="T39" r:id="rId55"/>
    <hyperlink ref="H39" r:id="rId56"/>
    <hyperlink ref="AO39" r:id="rId57"/>
    <hyperlink ref="AO47" r:id="rId58"/>
    <hyperlink ref="BA39" r:id="rId59"/>
    <hyperlink ref="CB39" r:id="rId60"/>
    <hyperlink ref="E51" r:id="rId61"/>
    <hyperlink ref="E52" r:id="rId62"/>
    <hyperlink ref="T51" r:id="rId63"/>
    <hyperlink ref="AC51" r:id="rId64"/>
    <hyperlink ref="BG51" r:id="rId65"/>
    <hyperlink ref="AR51" r:id="rId66"/>
    <hyperlink ref="AI51" r:id="rId67"/>
    <hyperlink ref="BS51" r:id="rId68"/>
    <hyperlink ref="CB51" r:id="rId69"/>
    <hyperlink ref="AO51" r:id="rId70"/>
    <hyperlink ref="Z51" r:id="rId71"/>
    <hyperlink ref="N51" r:id="rId72"/>
    <hyperlink ref="AF51" r:id="rId73"/>
    <hyperlink ref="AU51" r:id="rId74"/>
    <hyperlink ref="AX51" r:id="rId75"/>
    <hyperlink ref="AL51" r:id="rId76"/>
    <hyperlink ref="K51" r:id="rId77"/>
    <hyperlink ref="BP51" r:id="rId78"/>
    <hyperlink ref="BV51" r:id="rId79"/>
    <hyperlink ref="BM51" r:id="rId80"/>
    <hyperlink ref="BY51" r:id="rId81"/>
    <hyperlink ref="CN51" r:id="rId82"/>
    <hyperlink ref="CH51" r:id="rId83"/>
    <hyperlink ref="CQ51" r:id="rId84"/>
    <hyperlink ref="CZ51" r:id="rId85"/>
    <hyperlink ref="H51" r:id="rId86"/>
    <hyperlink ref="E49" r:id="rId87"/>
    <hyperlink ref="K49" r:id="rId88"/>
    <hyperlink ref="Z49" r:id="rId89"/>
    <hyperlink ref="N49" r:id="rId90"/>
    <hyperlink ref="T49" r:id="rId91"/>
    <hyperlink ref="AC49" r:id="rId92"/>
    <hyperlink ref="AI49" r:id="rId93"/>
    <hyperlink ref="AU49" r:id="rId94"/>
    <hyperlink ref="AR49" r:id="rId95"/>
    <hyperlink ref="BG49" r:id="rId96"/>
    <hyperlink ref="BS49" r:id="rId97"/>
    <hyperlink ref="E41" r:id="rId98"/>
    <hyperlink ref="Z41" r:id="rId99"/>
    <hyperlink ref="T41" r:id="rId100"/>
    <hyperlink ref="N41" r:id="rId101"/>
    <hyperlink ref="AF41" r:id="rId102"/>
    <hyperlink ref="K41" r:id="rId103"/>
    <hyperlink ref="Q41" r:id="rId104"/>
    <hyperlink ref="W41" r:id="rId105"/>
    <hyperlink ref="W42" r:id="rId106"/>
    <hyperlink ref="Q42" r:id="rId107"/>
    <hyperlink ref="BP42" r:id="rId108"/>
    <hyperlink ref="BJ42" r:id="rId109"/>
    <hyperlink ref="BA42" r:id="rId110"/>
    <hyperlink ref="BD42" r:id="rId111"/>
    <hyperlink ref="BM42" r:id="rId112"/>
    <hyperlink ref="AU42" r:id="rId113"/>
    <hyperlink ref="N42" r:id="rId114"/>
    <hyperlink ref="CH42" r:id="rId115"/>
    <hyperlink ref="AC42" r:id="rId116"/>
    <hyperlink ref="E42" r:id="rId117"/>
    <hyperlink ref="H42" r:id="rId118"/>
    <hyperlink ref="T42" r:id="rId119"/>
    <hyperlink ref="Z42" r:id="rId120"/>
    <hyperlink ref="AX50" r:id="rId121"/>
    <hyperlink ref="T50" r:id="rId122"/>
    <hyperlink ref="AL50" r:id="rId123"/>
    <hyperlink ref="AC50" r:id="rId124"/>
    <hyperlink ref="AI50" r:id="rId125"/>
    <hyperlink ref="CW50" r:id="rId126"/>
    <hyperlink ref="AO50" r:id="rId127"/>
    <hyperlink ref="CH50" r:id="rId128"/>
    <hyperlink ref="Z50" r:id="rId129"/>
    <hyperlink ref="N50" r:id="rId130"/>
    <hyperlink ref="H50" r:id="rId131"/>
    <hyperlink ref="K50" r:id="rId132"/>
    <hyperlink ref="Q50" r:id="rId133"/>
    <hyperlink ref="W50" r:id="rId134"/>
    <hyperlink ref="AF50" r:id="rId135"/>
    <hyperlink ref="AU50" r:id="rId136"/>
    <hyperlink ref="BD50" r:id="rId137"/>
    <hyperlink ref="BJ50" r:id="rId138"/>
    <hyperlink ref="BM50" r:id="rId139"/>
    <hyperlink ref="BP50" r:id="rId140"/>
    <hyperlink ref="BV50" r:id="rId141"/>
    <hyperlink ref="BY50" r:id="rId142"/>
    <hyperlink ref="AX14" r:id="rId143"/>
    <hyperlink ref="T14" r:id="rId144"/>
    <hyperlink ref="AL14" r:id="rId145"/>
    <hyperlink ref="E14" r:id="rId146"/>
    <hyperlink ref="AC14" r:id="rId147"/>
    <hyperlink ref="BG14" r:id="rId148"/>
    <hyperlink ref="AR14" r:id="rId149"/>
    <hyperlink ref="AI14" r:id="rId150"/>
    <hyperlink ref="BS14" r:id="rId151"/>
    <hyperlink ref="CB14" r:id="rId152"/>
    <hyperlink ref="AO14" r:id="rId153"/>
    <hyperlink ref="CE14" r:id="rId154"/>
    <hyperlink ref="Z14" r:id="rId155"/>
    <hyperlink ref="N14" r:id="rId156"/>
    <hyperlink ref="AF14" r:id="rId157"/>
    <hyperlink ref="AU14" r:id="rId158"/>
    <hyperlink ref="BJ14" r:id="rId159"/>
    <hyperlink ref="K14" r:id="rId160"/>
    <hyperlink ref="Q14" r:id="rId161"/>
    <hyperlink ref="CN14" r:id="rId162"/>
    <hyperlink ref="BV14" r:id="rId163"/>
    <hyperlink ref="BY14" r:id="rId164"/>
    <hyperlink ref="H14" r:id="rId165"/>
    <hyperlink ref="BD14" r:id="rId166"/>
    <hyperlink ref="BP14" r:id="rId167"/>
    <hyperlink ref="AX16" r:id="rId168"/>
    <hyperlink ref="T16" r:id="rId169" location="overlay-context=node/16691"/>
    <hyperlink ref="K16" r:id="rId170"/>
    <hyperlink ref="W16" r:id="rId171"/>
    <hyperlink ref="CN5" r:id="rId172"/>
    <hyperlink ref="BP5" r:id="rId173"/>
    <hyperlink ref="K5" r:id="rId174"/>
    <hyperlink ref="BD5" r:id="rId175" location="Developing" display="http://www.sacgp.org/climate_action_plan.html - Developing"/>
    <hyperlink ref="BY5" r:id="rId176"/>
    <hyperlink ref="N5" r:id="rId177"/>
    <hyperlink ref="CE5" r:id="rId178"/>
    <hyperlink ref="CH5" r:id="rId179"/>
    <hyperlink ref="CZ5" r:id="rId180"/>
    <hyperlink ref="CK5" r:id="rId181"/>
    <hyperlink ref="CB5" r:id="rId182"/>
    <hyperlink ref="AX5" r:id="rId183"/>
    <hyperlink ref="T17" r:id="rId184"/>
    <hyperlink ref="CQ17" r:id="rId185"/>
    <hyperlink ref="BG17" r:id="rId186"/>
    <hyperlink ref="AR17" r:id="rId187"/>
    <hyperlink ref="AI17" r:id="rId188"/>
    <hyperlink ref="Z17" r:id="rId189"/>
    <hyperlink ref="AF17" r:id="rId190"/>
    <hyperlink ref="BJ17" r:id="rId191"/>
    <hyperlink ref="K17" r:id="rId192"/>
    <hyperlink ref="E19" r:id="rId193"/>
    <hyperlink ref="E7" r:id="rId194"/>
    <hyperlink ref="H19" r:id="rId195"/>
    <hyperlink ref="H7" r:id="rId196"/>
    <hyperlink ref="K7" r:id="rId197"/>
    <hyperlink ref="N7" r:id="rId198"/>
    <hyperlink ref="N19" r:id="rId199"/>
    <hyperlink ref="Q7" r:id="rId200"/>
    <hyperlink ref="Z7" r:id="rId201"/>
    <hyperlink ref="Z19" r:id="rId202"/>
    <hyperlink ref="AF19" r:id="rId203"/>
    <hyperlink ref="AF7" r:id="rId204"/>
    <hyperlink ref="AC19" r:id="rId205"/>
    <hyperlink ref="AI7" r:id="rId206"/>
    <hyperlink ref="AI19" r:id="rId207"/>
    <hyperlink ref="AO19" r:id="rId208"/>
    <hyperlink ref="AO7" r:id="rId209"/>
    <hyperlink ref="AR7" r:id="rId210"/>
    <hyperlink ref="AU19" r:id="rId211"/>
    <hyperlink ref="AU7" r:id="rId212"/>
    <hyperlink ref="AX19" r:id="rId213"/>
    <hyperlink ref="BD7" r:id="rId214" display="http://www.cityofsacramento.org/generalservices/sustainability/documents/API 57.pdf"/>
    <hyperlink ref="BJ7" r:id="rId215"/>
    <hyperlink ref="BG19" r:id="rId216"/>
    <hyperlink ref="BM19" r:id="rId217"/>
    <hyperlink ref="BM7" r:id="rId218"/>
    <hyperlink ref="BP7" r:id="rId219"/>
    <hyperlink ref="BV19" r:id="rId220"/>
    <hyperlink ref="BY19" r:id="rId221"/>
    <hyperlink ref="BY7" r:id="rId222"/>
    <hyperlink ref="BS19" r:id="rId223"/>
    <hyperlink ref="CB19" r:id="rId224"/>
    <hyperlink ref="CE19" r:id="rId225"/>
    <hyperlink ref="CE7" r:id="rId226" display="http://www.miamigov.com/msi/pages/Energy/In Miami/Default.asp"/>
    <hyperlink ref="CH19" r:id="rId227"/>
    <hyperlink ref="CH7" r:id="rId228"/>
    <hyperlink ref="CN19" r:id="rId229"/>
    <hyperlink ref="CQ19" r:id="rId230"/>
    <hyperlink ref="CQ7" r:id="rId231"/>
    <hyperlink ref="CT7" r:id="rId232"/>
    <hyperlink ref="CZ19" r:id="rId233"/>
    <hyperlink ref="CZ7" r:id="rId234"/>
    <hyperlink ref="E12" r:id="rId235"/>
    <hyperlink ref="K12" r:id="rId236"/>
    <hyperlink ref="N12" r:id="rId237"/>
    <hyperlink ref="Q12" r:id="rId238"/>
    <hyperlink ref="T12" r:id="rId239"/>
    <hyperlink ref="W12" r:id="rId240"/>
    <hyperlink ref="Z12" r:id="rId241"/>
    <hyperlink ref="AF12" r:id="rId242"/>
    <hyperlink ref="AI12" r:id="rId243"/>
    <hyperlink ref="AO12" r:id="rId244"/>
    <hyperlink ref="AR12" r:id="rId245"/>
    <hyperlink ref="BJ12" r:id="rId246"/>
    <hyperlink ref="CB12" r:id="rId247"/>
    <hyperlink ref="E20" r:id="rId248"/>
    <hyperlink ref="H20" r:id="rId249"/>
    <hyperlink ref="N20" r:id="rId250"/>
    <hyperlink ref="AF20" r:id="rId251"/>
    <hyperlink ref="Q20" r:id="rId252"/>
    <hyperlink ref="T20" r:id="rId253"/>
    <hyperlink ref="W20" r:id="rId254"/>
    <hyperlink ref="AC20" r:id="rId255"/>
    <hyperlink ref="AI20" r:id="rId256"/>
    <hyperlink ref="AL20" r:id="rId257"/>
    <hyperlink ref="AO20" r:id="rId258"/>
    <hyperlink ref="AX20" r:id="rId259"/>
    <hyperlink ref="BG20" r:id="rId260"/>
    <hyperlink ref="BD20" r:id="rId261"/>
    <hyperlink ref="BA20" r:id="rId262"/>
    <hyperlink ref="BS20" r:id="rId263"/>
    <hyperlink ref="CH20" r:id="rId264"/>
    <hyperlink ref="CW20" r:id="rId265"/>
    <hyperlink ref="H21" r:id="rId266"/>
    <hyperlink ref="K21" r:id="rId267"/>
    <hyperlink ref="Q21" r:id="rId268"/>
    <hyperlink ref="AC21" r:id="rId269"/>
    <hyperlink ref="AO21" r:id="rId270"/>
    <hyperlink ref="BD21" r:id="rId271"/>
    <hyperlink ref="E8" r:id="rId272"/>
    <hyperlink ref="K8" r:id="rId273"/>
    <hyperlink ref="CN8" r:id="rId274"/>
    <hyperlink ref="T55" r:id="rId275"/>
    <hyperlink ref="CB55" r:id="rId276"/>
    <hyperlink ref="T57" r:id="rId277"/>
    <hyperlink ref="CT57" r:id="rId278"/>
    <hyperlink ref="AR56" r:id="rId279"/>
    <hyperlink ref="CB56" r:id="rId280"/>
    <hyperlink ref="E62" r:id="rId281"/>
    <hyperlink ref="N62" r:id="rId282"/>
    <hyperlink ref="H62" r:id="rId283"/>
    <hyperlink ref="K62" r:id="rId284"/>
    <hyperlink ref="Z62" r:id="rId285"/>
    <hyperlink ref="AC62" r:id="rId286"/>
    <hyperlink ref="AO62" r:id="rId287"/>
    <hyperlink ref="BA62" r:id="rId288"/>
    <hyperlink ref="BM62" r:id="rId289"/>
    <hyperlink ref="BP62" r:id="rId290"/>
    <hyperlink ref="E63" r:id="rId291"/>
    <hyperlink ref="E65" r:id="rId292"/>
    <hyperlink ref="H63" r:id="rId293"/>
    <hyperlink ref="H65" r:id="rId294"/>
    <hyperlink ref="K63" r:id="rId295"/>
    <hyperlink ref="K65" r:id="rId296"/>
    <hyperlink ref="N63" r:id="rId297"/>
    <hyperlink ref="N65" r:id="rId298"/>
    <hyperlink ref="Q63" r:id="rId299"/>
    <hyperlink ref="T63" r:id="rId300"/>
    <hyperlink ref="T65" r:id="rId301"/>
    <hyperlink ref="Z63" r:id="rId302"/>
    <hyperlink ref="Z65" r:id="rId303"/>
    <hyperlink ref="AC65" r:id="rId304"/>
    <hyperlink ref="AF65" r:id="rId305"/>
    <hyperlink ref="AI63" r:id="rId306"/>
    <hyperlink ref="AI65" r:id="rId307"/>
    <hyperlink ref="AL65" r:id="rId308"/>
    <hyperlink ref="AO63" r:id="rId309"/>
    <hyperlink ref="AR63" r:id="rId310"/>
    <hyperlink ref="AU65" r:id="rId311"/>
    <hyperlink ref="AX63" r:id="rId312"/>
    <hyperlink ref="AX65" r:id="rId313"/>
    <hyperlink ref="BA63" r:id="rId314"/>
    <hyperlink ref="BA65" r:id="rId315"/>
    <hyperlink ref="BD63" r:id="rId316"/>
    <hyperlink ref="BG63" r:id="rId317"/>
    <hyperlink ref="BG65" r:id="rId318"/>
    <hyperlink ref="BJ63" r:id="rId319"/>
    <hyperlink ref="BJ65" r:id="rId320"/>
    <hyperlink ref="BM63" r:id="rId321"/>
    <hyperlink ref="BP65" r:id="rId322"/>
    <hyperlink ref="BP63" r:id="rId323" display="http://www.sanjoseca.gov/DocumentCenter/Home/View/474"/>
    <hyperlink ref="BS63" r:id="rId324"/>
    <hyperlink ref="BS65" r:id="rId325"/>
    <hyperlink ref="CB63" r:id="rId326"/>
    <hyperlink ref="CH63" r:id="rId327"/>
    <hyperlink ref="CH65" r:id="rId328"/>
    <hyperlink ref="CK65" r:id="rId329"/>
    <hyperlink ref="CN63" r:id="rId330"/>
    <hyperlink ref="CN65" r:id="rId331"/>
    <hyperlink ref="CT65" r:id="rId332"/>
    <hyperlink ref="CW65" r:id="rId333"/>
    <hyperlink ref="CZ63" r:id="rId334"/>
    <hyperlink ref="T76" r:id="rId335"/>
    <hyperlink ref="E76" r:id="rId336"/>
    <hyperlink ref="H76" r:id="rId337"/>
    <hyperlink ref="N76" r:id="rId338"/>
    <hyperlink ref="Z76" r:id="rId339"/>
    <hyperlink ref="W76" r:id="rId340"/>
    <hyperlink ref="AF76" r:id="rId341"/>
    <hyperlink ref="AL76" r:id="rId342"/>
    <hyperlink ref="AI76" r:id="rId343"/>
    <hyperlink ref="AR76" r:id="rId344"/>
    <hyperlink ref="AX76" r:id="rId345"/>
    <hyperlink ref="AU76" r:id="rId346"/>
    <hyperlink ref="BA76" r:id="rId347"/>
    <hyperlink ref="BS76" r:id="rId348"/>
    <hyperlink ref="BJ76" r:id="rId349"/>
    <hyperlink ref="BV76" r:id="rId350"/>
    <hyperlink ref="CE76" r:id="rId351"/>
    <hyperlink ref="CB76" r:id="rId352"/>
    <hyperlink ref="CQ76" r:id="rId353"/>
    <hyperlink ref="CZ76" r:id="rId354"/>
    <hyperlink ref="CT76" r:id="rId355"/>
    <hyperlink ref="CN76" r:id="rId356"/>
    <hyperlink ref="E74" r:id="rId357"/>
    <hyperlink ref="N74" r:id="rId358"/>
    <hyperlink ref="H74" r:id="rId359"/>
    <hyperlink ref="Q74" r:id="rId360"/>
    <hyperlink ref="Z74" r:id="rId361"/>
    <hyperlink ref="AF74" r:id="rId362"/>
    <hyperlink ref="AC74" r:id="rId363"/>
    <hyperlink ref="AL74" r:id="rId364" location="section-d113837e2489"/>
    <hyperlink ref="BG74" r:id="rId365"/>
    <hyperlink ref="BD74" r:id="rId366"/>
    <hyperlink ref="BY74" r:id="rId367"/>
    <hyperlink ref="CQ74" r:id="rId368"/>
    <hyperlink ref="H77" r:id="rId369"/>
    <hyperlink ref="K77" r:id="rId370"/>
    <hyperlink ref="Q77" r:id="rId371"/>
    <hyperlink ref="AF77" r:id="rId372"/>
    <hyperlink ref="Z77" r:id="rId373"/>
    <hyperlink ref="AR77" r:id="rId374"/>
    <hyperlink ref="AX77" r:id="rId375"/>
    <hyperlink ref="BA77" r:id="rId376"/>
    <hyperlink ref="BM77" r:id="rId377"/>
    <hyperlink ref="E44" r:id="rId378"/>
    <hyperlink ref="Q44" r:id="rId379"/>
    <hyperlink ref="W44" r:id="rId380"/>
    <hyperlink ref="AC44" r:id="rId381"/>
    <hyperlink ref="AI44" r:id="rId382"/>
    <hyperlink ref="AO44" r:id="rId383"/>
    <hyperlink ref="AX44" r:id="rId384"/>
    <hyperlink ref="BD44" r:id="rId385"/>
    <hyperlink ref="BY44" r:id="rId386"/>
    <hyperlink ref="CB44" r:id="rId387"/>
    <hyperlink ref="CH44" r:id="rId388"/>
    <hyperlink ref="E68" r:id="rId389"/>
    <hyperlink ref="T68" r:id="rId390"/>
    <hyperlink ref="H68" r:id="rId391"/>
    <hyperlink ref="K68" r:id="rId392"/>
    <hyperlink ref="Q68" r:id="rId393"/>
    <hyperlink ref="W68" r:id="rId394"/>
    <hyperlink ref="AF68" r:id="rId395"/>
    <hyperlink ref="AI68" r:id="rId396"/>
    <hyperlink ref="AC68" r:id="rId397"/>
    <hyperlink ref="AL68" r:id="rId398"/>
    <hyperlink ref="BA68" r:id="rId399"/>
    <hyperlink ref="BG68" r:id="rId400"/>
    <hyperlink ref="CE68" r:id="rId401"/>
    <hyperlink ref="BV68" r:id="rId402"/>
    <hyperlink ref="CK68" r:id="rId403"/>
    <hyperlink ref="CN68" r:id="rId404"/>
    <hyperlink ref="AX71" r:id="rId405"/>
    <hyperlink ref="T71" r:id="rId406"/>
    <hyperlink ref="E71" r:id="rId407"/>
    <hyperlink ref="AC71" r:id="rId408"/>
    <hyperlink ref="BG71" r:id="rId409"/>
    <hyperlink ref="AI71" r:id="rId410"/>
    <hyperlink ref="CB71" r:id="rId411"/>
    <hyperlink ref="AO71" r:id="rId412"/>
    <hyperlink ref="CK71" r:id="rId413"/>
    <hyperlink ref="CH71" r:id="rId414"/>
    <hyperlink ref="AU71" r:id="rId415"/>
    <hyperlink ref="H71" r:id="rId416"/>
    <hyperlink ref="BD71" r:id="rId417"/>
    <hyperlink ref="BA71" r:id="rId418"/>
    <hyperlink ref="K71" r:id="rId419"/>
    <hyperlink ref="BV71" r:id="rId420"/>
    <hyperlink ref="W71" r:id="rId421"/>
    <hyperlink ref="W84" r:id="rId422"/>
    <hyperlink ref="BM84" r:id="rId423"/>
    <hyperlink ref="H85" r:id="rId424"/>
    <hyperlink ref="K85" r:id="rId425"/>
    <hyperlink ref="T85" r:id="rId426"/>
    <hyperlink ref="AO85" r:id="rId427"/>
    <hyperlink ref="BP85" r:id="rId428"/>
    <hyperlink ref="CH85" r:id="rId429"/>
    <hyperlink ref="T79" r:id="rId430"/>
    <hyperlink ref="N79" r:id="rId431"/>
    <hyperlink ref="Z79" r:id="rId432"/>
    <hyperlink ref="W79" r:id="rId433"/>
    <hyperlink ref="AF79" r:id="rId434"/>
    <hyperlink ref="AI79" r:id="rId435"/>
    <hyperlink ref="AC79" r:id="rId436"/>
    <hyperlink ref="AX79" r:id="rId437"/>
    <hyperlink ref="BD79" r:id="rId438"/>
    <hyperlink ref="BJ79" r:id="rId439"/>
    <hyperlink ref="BV79" r:id="rId440"/>
    <hyperlink ref="CW79" r:id="rId441"/>
    <hyperlink ref="E78" r:id="rId442"/>
    <hyperlink ref="T78" r:id="rId443"/>
    <hyperlink ref="H78" r:id="rId444"/>
    <hyperlink ref="K78" r:id="rId445"/>
    <hyperlink ref="N78" r:id="rId446"/>
    <hyperlink ref="Q78" r:id="rId447"/>
    <hyperlink ref="W78" r:id="rId448"/>
    <hyperlink ref="Z78" r:id="rId449"/>
    <hyperlink ref="AC78" r:id="rId450"/>
    <hyperlink ref="AL78" r:id="rId451"/>
    <hyperlink ref="AI78" r:id="rId452"/>
    <hyperlink ref="AF78" r:id="rId453"/>
    <hyperlink ref="AO78" r:id="rId454"/>
    <hyperlink ref="AR78" r:id="rId455"/>
    <hyperlink ref="AU78" r:id="rId456"/>
    <hyperlink ref="AX78" r:id="rId457"/>
    <hyperlink ref="BA78" r:id="rId458"/>
    <hyperlink ref="BD78" r:id="rId459"/>
    <hyperlink ref="BG78" r:id="rId460"/>
    <hyperlink ref="BJ78" r:id="rId461"/>
    <hyperlink ref="BM78" r:id="rId462"/>
    <hyperlink ref="BP78" r:id="rId463"/>
    <hyperlink ref="BV78" r:id="rId464"/>
    <hyperlink ref="BY78" r:id="rId465"/>
    <hyperlink ref="CB78" r:id="rId466"/>
    <hyperlink ref="CE78" r:id="rId467"/>
    <hyperlink ref="CH78" r:id="rId468"/>
    <hyperlink ref="CN78" r:id="rId469"/>
    <hyperlink ref="CQ78" r:id="rId470"/>
    <hyperlink ref="CT78" r:id="rId471"/>
    <hyperlink ref="CW78" r:id="rId472"/>
    <hyperlink ref="CZ78" r:id="rId473"/>
    <hyperlink ref="N83" r:id="rId474"/>
    <hyperlink ref="H83" r:id="rId475"/>
    <hyperlink ref="K83" r:id="rId476"/>
    <hyperlink ref="Z83" r:id="rId477"/>
    <hyperlink ref="AO83" r:id="rId478"/>
    <hyperlink ref="AX83" r:id="rId479"/>
    <hyperlink ref="BS83" r:id="rId480"/>
    <hyperlink ref="D80" r:id="rId481"/>
    <hyperlink ref="E80" r:id="rId482"/>
    <hyperlink ref="G80" r:id="rId483"/>
    <hyperlink ref="H80" r:id="rId484"/>
    <hyperlink ref="J80" r:id="rId485"/>
    <hyperlink ref="K80" r:id="rId486"/>
    <hyperlink ref="M80" r:id="rId487"/>
    <hyperlink ref="N80" r:id="rId488"/>
    <hyperlink ref="P80" r:id="rId489"/>
    <hyperlink ref="Q80" r:id="rId490"/>
    <hyperlink ref="S80" r:id="rId491"/>
    <hyperlink ref="T80" r:id="rId492"/>
    <hyperlink ref="V80" r:id="rId493"/>
    <hyperlink ref="W80" r:id="rId494"/>
    <hyperlink ref="Y80" r:id="rId495"/>
    <hyperlink ref="Z80" r:id="rId496"/>
    <hyperlink ref="AB80" r:id="rId497"/>
    <hyperlink ref="AC80" r:id="rId498"/>
    <hyperlink ref="AE80" r:id="rId499"/>
    <hyperlink ref="AF80" r:id="rId500"/>
    <hyperlink ref="AH80" r:id="rId501"/>
    <hyperlink ref="AI80" r:id="rId502"/>
    <hyperlink ref="AK80" r:id="rId503"/>
    <hyperlink ref="AL80" r:id="rId504"/>
    <hyperlink ref="AN80" r:id="rId505"/>
    <hyperlink ref="AO80" r:id="rId506"/>
    <hyperlink ref="AQ80" r:id="rId507"/>
    <hyperlink ref="AR80" r:id="rId508"/>
    <hyperlink ref="AT80" r:id="rId509"/>
    <hyperlink ref="AU80" r:id="rId510"/>
    <hyperlink ref="AW80" r:id="rId511"/>
    <hyperlink ref="AX80" r:id="rId512"/>
    <hyperlink ref="AZ80" r:id="rId513"/>
    <hyperlink ref="BA80" r:id="rId514"/>
    <hyperlink ref="BC80" r:id="rId515"/>
    <hyperlink ref="BD80" r:id="rId516"/>
    <hyperlink ref="BF80" r:id="rId517"/>
    <hyperlink ref="BG80" r:id="rId518"/>
    <hyperlink ref="BI80" r:id="rId519"/>
    <hyperlink ref="BJ80" r:id="rId520"/>
    <hyperlink ref="BL80" r:id="rId521"/>
    <hyperlink ref="BM80" r:id="rId522"/>
    <hyperlink ref="BO80" r:id="rId523"/>
    <hyperlink ref="BP80" r:id="rId524"/>
    <hyperlink ref="BR80" r:id="rId525"/>
    <hyperlink ref="BS80" r:id="rId526"/>
    <hyperlink ref="BU80" r:id="rId527"/>
    <hyperlink ref="BV80" r:id="rId528"/>
    <hyperlink ref="BX80" r:id="rId529"/>
    <hyperlink ref="BY80" r:id="rId530"/>
    <hyperlink ref="CA80" r:id="rId531"/>
    <hyperlink ref="CB80" r:id="rId532"/>
    <hyperlink ref="CD80" r:id="rId533"/>
    <hyperlink ref="CE80" r:id="rId534"/>
    <hyperlink ref="CG80" r:id="rId535"/>
    <hyperlink ref="CH80" r:id="rId536"/>
    <hyperlink ref="CJ80" r:id="rId537"/>
    <hyperlink ref="CK80" r:id="rId538"/>
    <hyperlink ref="CM80" r:id="rId539"/>
    <hyperlink ref="CN80" r:id="rId540"/>
    <hyperlink ref="CP80" r:id="rId541"/>
    <hyperlink ref="CQ80" r:id="rId542"/>
    <hyperlink ref="CS80" r:id="rId543"/>
    <hyperlink ref="CT80" r:id="rId544"/>
    <hyperlink ref="CV80" r:id="rId545"/>
    <hyperlink ref="CW80" r:id="rId546"/>
    <hyperlink ref="CY80" r:id="rId547"/>
    <hyperlink ref="CZ80" r:id="rId548"/>
    <hyperlink ref="E70" r:id="rId549"/>
    <hyperlink ref="H70" r:id="rId550"/>
    <hyperlink ref="K70" r:id="rId551"/>
    <hyperlink ref="N70" r:id="rId552"/>
    <hyperlink ref="Q70" r:id="rId553"/>
    <hyperlink ref="T70" r:id="rId554"/>
    <hyperlink ref="W70" r:id="rId555"/>
    <hyperlink ref="Z70" r:id="rId556"/>
    <hyperlink ref="AC70" r:id="rId557"/>
    <hyperlink ref="AF70" r:id="rId558"/>
    <hyperlink ref="AI70" r:id="rId559"/>
    <hyperlink ref="AL70" r:id="rId560"/>
    <hyperlink ref="AO70" r:id="rId561"/>
    <hyperlink ref="AR70" r:id="rId562"/>
    <hyperlink ref="AU70" r:id="rId563"/>
    <hyperlink ref="AX70" r:id="rId564"/>
    <hyperlink ref="BA70" r:id="rId565"/>
    <hyperlink ref="BD70" r:id="rId566"/>
    <hyperlink ref="BG70" r:id="rId567"/>
    <hyperlink ref="BJ70" r:id="rId568"/>
    <hyperlink ref="BM70" r:id="rId569"/>
    <hyperlink ref="BP70" r:id="rId570"/>
    <hyperlink ref="BS70" r:id="rId571"/>
    <hyperlink ref="BV70" r:id="rId572"/>
    <hyperlink ref="BY70" r:id="rId573"/>
    <hyperlink ref="CB70" r:id="rId574"/>
    <hyperlink ref="CE70" r:id="rId575"/>
    <hyperlink ref="CH70" r:id="rId576"/>
    <hyperlink ref="CK70" r:id="rId577"/>
    <hyperlink ref="CN70" r:id="rId578"/>
    <hyperlink ref="CQ70" r:id="rId579"/>
    <hyperlink ref="CT70" r:id="rId580"/>
    <hyperlink ref="CW70" r:id="rId581"/>
    <hyperlink ref="CZ70" r:id="rId582"/>
    <hyperlink ref="S76" r:id="rId583" display="http://www.recaonline.com/docs/arc/arc2006/CDS_Subchapter_E_Adopted_Ordinance.pdf"/>
  </hyperlink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
  <dimension ref="C2:L7"/>
  <sheetViews>
    <sheetView workbookViewId="0">
      <selection activeCell="J6" sqref="J6"/>
    </sheetView>
  </sheetViews>
  <sheetFormatPr defaultRowHeight="15"/>
  <cols>
    <col min="2" max="2" width="17.28515625" bestFit="1" customWidth="1"/>
    <col min="3" max="3" width="39" bestFit="1" customWidth="1"/>
    <col min="5" max="5" width="19.85546875" bestFit="1" customWidth="1"/>
    <col min="6" max="6" width="11.5703125" bestFit="1" customWidth="1"/>
    <col min="7" max="7" width="13.7109375" bestFit="1" customWidth="1"/>
    <col min="8" max="8" width="12" bestFit="1" customWidth="1"/>
    <col min="9" max="9" width="12.7109375" bestFit="1" customWidth="1"/>
    <col min="10" max="10" width="12.5703125" bestFit="1" customWidth="1"/>
    <col min="11" max="12" width="12" bestFit="1" customWidth="1"/>
  </cols>
  <sheetData>
    <row r="2" spans="3:12">
      <c r="D2" t="str">
        <f ca="1">Intro!D18</f>
        <v>Burlington</v>
      </c>
      <c r="E2" t="s">
        <v>376</v>
      </c>
      <c r="F2" t="s">
        <v>377</v>
      </c>
      <c r="G2" t="s">
        <v>378</v>
      </c>
      <c r="H2" t="s">
        <v>379</v>
      </c>
      <c r="I2" t="s">
        <v>380</v>
      </c>
      <c r="J2" t="s">
        <v>381</v>
      </c>
      <c r="K2" t="s">
        <v>382</v>
      </c>
      <c r="L2" t="s">
        <v>383</v>
      </c>
    </row>
    <row r="3" spans="3:12">
      <c r="C3" t="s">
        <v>385</v>
      </c>
      <c r="D3">
        <f ca="1">'Detailed Analysis'!D5</f>
        <v>1.5</v>
      </c>
      <c r="E3">
        <f ca="1">'Detailed Analysis'!F5</f>
        <v>6</v>
      </c>
      <c r="F3">
        <f ca="1">'Detailed Analysis'!G5</f>
        <v>6.5</v>
      </c>
      <c r="G3">
        <f ca="1">'Detailed Analysis'!H5</f>
        <v>1.5</v>
      </c>
      <c r="H3">
        <f ca="1">'Detailed Analysis'!I5</f>
        <v>2.5</v>
      </c>
      <c r="I3">
        <f ca="1">'Detailed Analysis'!J5</f>
        <v>3.5</v>
      </c>
      <c r="J3">
        <f ca="1">'Detailed Analysis'!K5</f>
        <v>1</v>
      </c>
      <c r="K3">
        <f ca="1">'Detailed Analysis'!L5</f>
        <v>2</v>
      </c>
      <c r="L3">
        <f ca="1">'Detailed Analysis'!M5</f>
        <v>3.5</v>
      </c>
    </row>
    <row r="4" spans="3:12">
      <c r="C4" t="s">
        <v>356</v>
      </c>
      <c r="D4">
        <f ca="1">'Detailed Analysis'!D24</f>
        <v>2.5</v>
      </c>
      <c r="E4">
        <f ca="1">'Detailed Analysis'!F24</f>
        <v>3</v>
      </c>
      <c r="F4">
        <f ca="1">'Detailed Analysis'!G24</f>
        <v>2.5</v>
      </c>
      <c r="G4">
        <f ca="1">'Detailed Analysis'!H24</f>
        <v>2.5</v>
      </c>
      <c r="H4">
        <f ca="1">'Detailed Analysis'!I24</f>
        <v>3</v>
      </c>
      <c r="I4">
        <f ca="1">'Detailed Analysis'!J24</f>
        <v>1</v>
      </c>
      <c r="J4">
        <f ca="1">'Detailed Analysis'!K24</f>
        <v>1</v>
      </c>
      <c r="K4">
        <f ca="1">'Detailed Analysis'!L24</f>
        <v>2.5</v>
      </c>
      <c r="L4">
        <f ca="1">'Detailed Analysis'!M24</f>
        <v>2.5</v>
      </c>
    </row>
    <row r="5" spans="3:12">
      <c r="C5" t="s">
        <v>357</v>
      </c>
      <c r="D5" t="e">
        <f ca="1">'Detailed Analysis'!D35</f>
        <v>#N/A</v>
      </c>
      <c r="E5" t="e">
        <f ca="1">'Detailed Analysis'!F35</f>
        <v>#N/A</v>
      </c>
      <c r="F5" t="e">
        <f ca="1">'Detailed Analysis'!G35</f>
        <v>#N/A</v>
      </c>
      <c r="G5" t="e">
        <f ca="1">'Detailed Analysis'!H35</f>
        <v>#N/A</v>
      </c>
      <c r="H5" t="e">
        <f ca="1">'Detailed Analysis'!I35</f>
        <v>#N/A</v>
      </c>
      <c r="I5" t="e">
        <f ca="1">'Detailed Analysis'!J35</f>
        <v>#N/A</v>
      </c>
      <c r="J5" t="e">
        <f ca="1">'Detailed Analysis'!K35</f>
        <v>#N/A</v>
      </c>
      <c r="K5" t="e">
        <f ca="1">'Detailed Analysis'!L35</f>
        <v>#N/A</v>
      </c>
      <c r="L5" t="e">
        <f ca="1">'Detailed Analysis'!M35</f>
        <v>#N/A</v>
      </c>
    </row>
    <row r="6" spans="3:12">
      <c r="C6" t="s">
        <v>101</v>
      </c>
      <c r="D6" t="e">
        <f ca="1">'Detailed Analysis'!D55</f>
        <v>#VALUE!</v>
      </c>
      <c r="E6">
        <f ca="1">'Detailed Analysis'!F55</f>
        <v>1.75</v>
      </c>
      <c r="F6">
        <f ca="1">'Detailed Analysis'!G55</f>
        <v>6</v>
      </c>
      <c r="G6">
        <f ca="1">'Detailed Analysis'!H55</f>
        <v>4.5</v>
      </c>
      <c r="H6">
        <f ca="1">'Detailed Analysis'!I55</f>
        <v>3</v>
      </c>
      <c r="I6">
        <f ca="1">'Detailed Analysis'!J55</f>
        <v>1</v>
      </c>
      <c r="J6">
        <f ca="1">'Detailed Analysis'!K55</f>
        <v>3.75</v>
      </c>
      <c r="K6">
        <f ca="1">'Detailed Analysis'!L55</f>
        <v>3.5</v>
      </c>
      <c r="L6">
        <f ca="1">'Detailed Analysis'!M55</f>
        <v>6.75</v>
      </c>
    </row>
    <row r="7" spans="3:12">
      <c r="C7" t="s">
        <v>359</v>
      </c>
      <c r="D7" t="e">
        <f ca="1">'Detailed Analysis'!D68</f>
        <v>#VALUE!</v>
      </c>
      <c r="E7">
        <f ca="1">'Detailed Analysis'!F68</f>
        <v>12.25</v>
      </c>
      <c r="F7">
        <f ca="1">'Detailed Analysis'!G68</f>
        <v>8.5</v>
      </c>
      <c r="G7">
        <f ca="1">'Detailed Analysis'!H68</f>
        <v>6</v>
      </c>
      <c r="H7">
        <f ca="1">'Detailed Analysis'!I68</f>
        <v>6.75</v>
      </c>
      <c r="I7">
        <f ca="1">'Detailed Analysis'!J68</f>
        <v>11.25</v>
      </c>
      <c r="J7">
        <f ca="1">'Detailed Analysis'!K68</f>
        <v>4.75</v>
      </c>
      <c r="K7">
        <f ca="1">'Detailed Analysis'!L68</f>
        <v>7</v>
      </c>
      <c r="L7">
        <f ca="1">'Detailed Analysis'!M68</f>
        <v>5.25</v>
      </c>
    </row>
  </sheetData>
  <phoneticPr fontId="4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outlinePr summaryBelow="0" summaryRight="0"/>
  </sheetPr>
  <dimension ref="A2:G47"/>
  <sheetViews>
    <sheetView tabSelected="1" topLeftCell="A38" workbookViewId="0">
      <selection activeCell="C41" sqref="C41"/>
    </sheetView>
  </sheetViews>
  <sheetFormatPr defaultRowHeight="15" outlineLevelRow="1"/>
  <cols>
    <col min="1" max="1" width="18.85546875" style="2" customWidth="1"/>
    <col min="2" max="2" width="50.5703125" style="2" customWidth="1"/>
    <col min="3" max="3" width="38.42578125" style="2" customWidth="1"/>
    <col min="4" max="4" width="58.140625" style="2" customWidth="1"/>
    <col min="5" max="5" width="11" style="2" customWidth="1"/>
    <col min="6" max="6" width="19.85546875" style="2" customWidth="1"/>
    <col min="7" max="7" width="11" style="6" customWidth="1"/>
    <col min="8" max="10" width="11" style="2" customWidth="1"/>
    <col min="11" max="11" width="21.140625" style="2" bestFit="1" customWidth="1"/>
    <col min="12" max="12" width="11" style="2" customWidth="1"/>
    <col min="13" max="16384" width="9.140625" style="2"/>
  </cols>
  <sheetData>
    <row r="2" spans="1:7" ht="21">
      <c r="A2" s="289" t="s">
        <v>469</v>
      </c>
      <c r="B2" s="289"/>
      <c r="C2" s="289"/>
      <c r="D2" s="289"/>
      <c r="E2" s="289"/>
      <c r="F2" s="289"/>
    </row>
    <row r="3" spans="1:7" ht="21">
      <c r="B3" s="8"/>
      <c r="C3" s="8"/>
      <c r="D3" s="8"/>
      <c r="E3" s="8"/>
      <c r="F3" s="8"/>
    </row>
    <row r="4" spans="1:7" ht="30">
      <c r="A4" s="1" t="s">
        <v>44</v>
      </c>
      <c r="B4" s="1" t="s">
        <v>129</v>
      </c>
      <c r="C4" s="70"/>
    </row>
    <row r="5" spans="1:7" outlineLevel="1">
      <c r="C5" s="43"/>
    </row>
    <row r="6" spans="1:7" ht="30" outlineLevel="1">
      <c r="A6" s="1" t="s">
        <v>438</v>
      </c>
      <c r="B6" s="1" t="s">
        <v>369</v>
      </c>
      <c r="C6" s="1" t="s">
        <v>362</v>
      </c>
      <c r="D6" s="1" t="s">
        <v>505</v>
      </c>
      <c r="E6" s="266" t="s">
        <v>352</v>
      </c>
      <c r="F6" s="64" t="s">
        <v>353</v>
      </c>
    </row>
    <row r="7" spans="1:7" ht="60" outlineLevel="1">
      <c r="A7" s="26" t="s">
        <v>1717</v>
      </c>
      <c r="B7" s="29" t="s">
        <v>669</v>
      </c>
      <c r="C7" s="99" t="s">
        <v>1783</v>
      </c>
      <c r="D7" s="99" t="s">
        <v>1784</v>
      </c>
      <c r="E7" s="277" t="str">
        <f>IF(D7="At least one full-time employee is dedicated to energy management and coordination",0.5,IF(D7="No full-time staff are dedicated to energy management and coordination",0,""))</f>
        <v/>
      </c>
      <c r="F7" s="39" t="s">
        <v>367</v>
      </c>
    </row>
    <row r="8" spans="1:7" ht="105" outlineLevel="1">
      <c r="A8" s="286" t="s">
        <v>597</v>
      </c>
      <c r="B8" s="29" t="s">
        <v>598</v>
      </c>
      <c r="C8" s="282" t="s">
        <v>1772</v>
      </c>
      <c r="D8" s="99" t="s">
        <v>1786</v>
      </c>
      <c r="E8" s="277" t="str">
        <f>IF(D8="Yes, the city has an energy efficiency standard in place for outdoor lighting",0.75,IF(D8="A policy is not in place, but the city has begun an outdoor lighting replacement program",0.25,IF(D8="No, a standard is not in place and retrofits are not planned",0,"")))</f>
        <v/>
      </c>
      <c r="F8" s="39" t="s">
        <v>367</v>
      </c>
    </row>
    <row r="9" spans="1:7" ht="30" outlineLevel="1">
      <c r="A9" s="288"/>
      <c r="B9" s="29" t="s">
        <v>648</v>
      </c>
      <c r="C9" s="282" t="s">
        <v>1785</v>
      </c>
      <c r="D9" s="99" t="s">
        <v>1787</v>
      </c>
      <c r="E9" s="277" t="str">
        <f>IF(D9="Yes, lights are activated by sensors and/or are scheduled ",0.25,IF(D9="No, lights are not activated by sensors nor scheduled for only when needed",0,""))</f>
        <v/>
      </c>
      <c r="F9" s="39" t="s">
        <v>367</v>
      </c>
    </row>
    <row r="10" spans="1:7" ht="60" outlineLevel="1">
      <c r="A10" s="26" t="s">
        <v>1718</v>
      </c>
      <c r="B10" s="30" t="s">
        <v>649</v>
      </c>
      <c r="C10" s="283" t="s">
        <v>1773</v>
      </c>
      <c r="D10" s="100" t="s">
        <v>606</v>
      </c>
      <c r="E10" s="277">
        <f>IF(D10="Yes, energy efficiency and/or lifecycle costs are considered in procurement",0.5,IF(D10="No, neither energy efficiency nor lifecycle costs are considered in procurement",0,""))</f>
        <v>0.5</v>
      </c>
      <c r="F10" s="39" t="s">
        <v>367</v>
      </c>
      <c r="G10" s="70"/>
    </row>
    <row r="11" spans="1:7" ht="75" outlineLevel="1">
      <c r="A11" s="45" t="s">
        <v>1719</v>
      </c>
      <c r="B11" s="29" t="s">
        <v>1736</v>
      </c>
      <c r="C11" s="282" t="s">
        <v>1788</v>
      </c>
      <c r="D11" s="99" t="s">
        <v>611</v>
      </c>
      <c r="E11" s="277">
        <f>IF(D11="At least 75%",1,IF(D11="50 - 74.9%",0.5,IF(D11="25 - 49.9%",0.25,IF(D11="&lt;25%",0,""))))</f>
        <v>0</v>
      </c>
      <c r="F11" s="39" t="s">
        <v>367</v>
      </c>
    </row>
    <row r="12" spans="1:7" ht="45" outlineLevel="1">
      <c r="A12" s="290" t="s">
        <v>253</v>
      </c>
      <c r="B12" s="29" t="s">
        <v>254</v>
      </c>
      <c r="C12" s="99" t="s">
        <v>1789</v>
      </c>
      <c r="D12" s="99" t="s">
        <v>1790</v>
      </c>
      <c r="E12" s="277" t="str">
        <f>IF(D12="Yes, current government policies minimize municipal employee commutes",0.5,IF(D12="No, government policies are not in place to minimize municipal employee commutes",0,""))</f>
        <v/>
      </c>
      <c r="F12" s="39" t="s">
        <v>367</v>
      </c>
    </row>
    <row r="13" spans="1:7" ht="30" outlineLevel="1">
      <c r="A13" s="290"/>
      <c r="B13" s="29" t="s">
        <v>258</v>
      </c>
      <c r="C13" s="99" t="s">
        <v>1785</v>
      </c>
      <c r="D13" s="99" t="s">
        <v>1791</v>
      </c>
      <c r="E13" s="277" t="str">
        <f>IF(D13="Yes, carpooling or public transit benefits are offered to municipal employees",0.5,IF(D13="No, carpooling or public transit benefits are not offered to municipal employees",0,""))</f>
        <v/>
      </c>
      <c r="F13" s="39" t="s">
        <v>367</v>
      </c>
    </row>
    <row r="14" spans="1:7" outlineLevel="1">
      <c r="E14" s="269"/>
    </row>
    <row r="15" spans="1:7" ht="30.75" outlineLevel="1" thickBot="1">
      <c r="D15" s="5" t="s">
        <v>1704</v>
      </c>
      <c r="E15" s="281">
        <f>SUM(E7:E14)</f>
        <v>0.5</v>
      </c>
      <c r="G15" s="81"/>
    </row>
    <row r="16" spans="1:7" ht="15.75" outlineLevel="1" thickTop="1">
      <c r="D16" s="7"/>
      <c r="E16" s="276"/>
      <c r="G16" s="81"/>
    </row>
    <row r="17" spans="1:7" outlineLevel="1">
      <c r="E17" s="269"/>
      <c r="G17" s="81"/>
    </row>
    <row r="18" spans="1:7">
      <c r="A18" s="1" t="s">
        <v>45</v>
      </c>
      <c r="B18" s="1" t="s">
        <v>127</v>
      </c>
      <c r="E18" s="269"/>
    </row>
    <row r="19" spans="1:7" outlineLevel="1">
      <c r="E19" s="269"/>
    </row>
    <row r="20" spans="1:7" ht="30" outlineLevel="1">
      <c r="A20" s="1" t="s">
        <v>438</v>
      </c>
      <c r="B20" s="1" t="s">
        <v>369</v>
      </c>
      <c r="C20" s="1" t="s">
        <v>362</v>
      </c>
      <c r="D20" s="1" t="s">
        <v>505</v>
      </c>
      <c r="E20" s="266" t="s">
        <v>352</v>
      </c>
      <c r="F20" s="64" t="s">
        <v>353</v>
      </c>
    </row>
    <row r="21" spans="1:7" ht="45" outlineLevel="1">
      <c r="A21" s="286" t="s">
        <v>612</v>
      </c>
      <c r="B21" s="30" t="s">
        <v>650</v>
      </c>
      <c r="C21" s="282" t="s">
        <v>1792</v>
      </c>
      <c r="D21" s="100" t="s">
        <v>1785</v>
      </c>
      <c r="E21" s="272" t="str">
        <f>IF(D21="Yes, the city publically reports on the progress towards goals at least annually",0.5,IF(D21="Progress on all goals is not reported, but the city does annually report on some goals",0.25,IF(D21="No, the city does not publically or annually report on the progress towards goals",0,"")))</f>
        <v/>
      </c>
      <c r="F21" s="39" t="s">
        <v>367</v>
      </c>
    </row>
    <row r="22" spans="1:7" ht="75" outlineLevel="1">
      <c r="A22" s="288"/>
      <c r="B22" s="30" t="s">
        <v>653</v>
      </c>
      <c r="C22" s="104" t="s">
        <v>1793</v>
      </c>
      <c r="D22" s="100" t="s">
        <v>625</v>
      </c>
      <c r="E22" s="267">
        <f>IF(D22="Yes, outreach and community engagement are part of goals",0.5,IF(D22="No, outreach and community engagement are not part of goals",0,""))</f>
        <v>0.5</v>
      </c>
      <c r="F22" s="39" t="s">
        <v>367</v>
      </c>
    </row>
    <row r="23" spans="1:7" ht="60" outlineLevel="1">
      <c r="A23" s="26" t="s">
        <v>615</v>
      </c>
      <c r="B23" s="49" t="s">
        <v>1737</v>
      </c>
      <c r="C23" s="282" t="s">
        <v>1794</v>
      </c>
      <c r="D23" s="99" t="s">
        <v>617</v>
      </c>
      <c r="E23" s="272">
        <f>IF(D23="At least 75%",1,IF(D23="50 - 74.9%",0.5,IF(D23="25 - 49.9%",0.25,IF(D23="0 - 24.9%",0,""))))</f>
        <v>0</v>
      </c>
      <c r="F23" s="39" t="s">
        <v>367</v>
      </c>
    </row>
    <row r="24" spans="1:7" outlineLevel="1">
      <c r="E24" s="278"/>
    </row>
    <row r="25" spans="1:7" ht="15.75" outlineLevel="1" thickBot="1">
      <c r="D25" s="5" t="s">
        <v>1705</v>
      </c>
      <c r="E25" s="270">
        <f>SUM(E21:E24)</f>
        <v>0.5</v>
      </c>
    </row>
    <row r="26" spans="1:7" ht="15.75" outlineLevel="1" thickTop="1">
      <c r="D26" s="3"/>
      <c r="E26" s="269"/>
    </row>
    <row r="27" spans="1:7" outlineLevel="1">
      <c r="D27" s="3"/>
      <c r="E27" s="269"/>
    </row>
    <row r="28" spans="1:7" ht="30">
      <c r="A28" s="1" t="s">
        <v>46</v>
      </c>
      <c r="B28" s="1" t="s">
        <v>130</v>
      </c>
      <c r="E28" s="269"/>
    </row>
    <row r="29" spans="1:7" outlineLevel="1">
      <c r="E29" s="269"/>
    </row>
    <row r="30" spans="1:7" ht="30" outlineLevel="1">
      <c r="A30" s="1" t="s">
        <v>438</v>
      </c>
      <c r="B30" s="1" t="s">
        <v>369</v>
      </c>
      <c r="C30" s="1" t="s">
        <v>362</v>
      </c>
      <c r="D30" s="1" t="s">
        <v>505</v>
      </c>
      <c r="E30" s="266" t="s">
        <v>352</v>
      </c>
      <c r="F30" s="64" t="s">
        <v>353</v>
      </c>
    </row>
    <row r="31" spans="1:7" ht="150" outlineLevel="1">
      <c r="A31" s="26" t="s">
        <v>618</v>
      </c>
      <c r="B31" s="30" t="s">
        <v>1738</v>
      </c>
      <c r="C31" s="104" t="s">
        <v>1795</v>
      </c>
      <c r="D31" s="100" t="s">
        <v>619</v>
      </c>
      <c r="E31" s="267">
        <f>IF(D31="Yes, a target has been adopted through Executive Order or City Resolution",2,IF(D31="Energy efficiency targets have been identified, but not formally adopted",1,IF(D31="No targets have been set, but an agency stakeholder group is convening to discuss",0.5,IF(D31="No, no targets have been adopted nor are being planned",0,""))))</f>
        <v>1</v>
      </c>
      <c r="F31" s="39" t="s">
        <v>367</v>
      </c>
    </row>
    <row r="32" spans="1:7" ht="54" customHeight="1" outlineLevel="1">
      <c r="A32" s="286" t="s">
        <v>622</v>
      </c>
      <c r="B32" s="30" t="s">
        <v>1739</v>
      </c>
      <c r="C32" s="104" t="s">
        <v>1796</v>
      </c>
      <c r="D32" s="100" t="s">
        <v>1797</v>
      </c>
      <c r="E32" s="267" t="str">
        <f>IF(D32="Yes, the city has quantitative evidence demonstrating it is on track to reach its target(s)",1,IF(D32="City has implemented programs to save energy, but cannot quantify overall savings",0.5,IF(D32="No, the city is not on track to reach its target(s)",0,"")))</f>
        <v/>
      </c>
      <c r="F32" s="39" t="s">
        <v>367</v>
      </c>
    </row>
    <row r="33" spans="1:6" ht="75" outlineLevel="1">
      <c r="A33" s="288"/>
      <c r="B33" s="30" t="s">
        <v>1740</v>
      </c>
      <c r="C33" s="282" t="s">
        <v>1798</v>
      </c>
      <c r="D33" s="100" t="s">
        <v>658</v>
      </c>
      <c r="E33" s="267">
        <f>IF(D33="Yes, dedicated funding is in place and/or energy target(s) has been incorporated",0.5,IF(D33="Neither dedicated funding is in place nor has energy target(s) been incorporated",0,""))</f>
        <v>0</v>
      </c>
      <c r="F33" s="39" t="s">
        <v>367</v>
      </c>
    </row>
    <row r="34" spans="1:6" ht="75" outlineLevel="1">
      <c r="A34" s="26" t="s">
        <v>1062</v>
      </c>
      <c r="B34" s="30" t="s">
        <v>1741</v>
      </c>
      <c r="C34" s="282" t="s">
        <v>1799</v>
      </c>
      <c r="D34" s="101" t="s">
        <v>659</v>
      </c>
      <c r="E34" s="267">
        <f>IF(D34="Yes, the city employs a third party for EM&amp;V of progress towards goals",0.5,IF(D34="No third party, but city follows standardized monitoring and evaluation techniques",0.25,IF(D34="No, city does not employ a third party for EM&amp;V of progress towards goals",0,"")))</f>
        <v>0</v>
      </c>
      <c r="F34" s="39" t="s">
        <v>367</v>
      </c>
    </row>
    <row r="35" spans="1:6" ht="45" outlineLevel="1">
      <c r="A35" s="26" t="s">
        <v>1077</v>
      </c>
      <c r="B35" s="30" t="s">
        <v>1742</v>
      </c>
      <c r="C35" s="282" t="s">
        <v>1800</v>
      </c>
      <c r="D35" s="101" t="s">
        <v>1801</v>
      </c>
      <c r="E35" s="267" t="str">
        <f>IF(D35="Yes, departmental incentives are in place for energy efficient actions",0.5,IF(D35="No, departmental incentives are not in place for energy efficient actions",0,""))</f>
        <v/>
      </c>
      <c r="F35" s="39" t="s">
        <v>367</v>
      </c>
    </row>
    <row r="36" spans="1:6" ht="45" customHeight="1" outlineLevel="1">
      <c r="A36" s="286" t="s">
        <v>629</v>
      </c>
      <c r="B36" s="30" t="s">
        <v>630</v>
      </c>
      <c r="C36" s="104" t="s">
        <v>1802</v>
      </c>
      <c r="D36" s="101" t="s">
        <v>1803</v>
      </c>
      <c r="E36" s="267" t="str">
        <f>IF(D36="Yes, there are fuel efficiency requirements for the public fleet",1,IF(D36="No, there aren't fuel efficiency requirements for the public fleet",0,""))</f>
        <v/>
      </c>
      <c r="F36" s="39" t="s">
        <v>367</v>
      </c>
    </row>
    <row r="37" spans="1:6" ht="45" outlineLevel="1">
      <c r="A37" s="287"/>
      <c r="B37" s="30" t="s">
        <v>1743</v>
      </c>
      <c r="C37" s="104" t="s">
        <v>1804</v>
      </c>
      <c r="D37" s="101" t="s">
        <v>1774</v>
      </c>
      <c r="E37" s="267">
        <f>IF(D37="Both a right-sizing policy AND a policy to encourage efficient vehicle usage is in place",0.5,IF(D37="A right-sizing policy OR a policy to encourage efficient vehicle usage is in place",0.25,IF(D37="Neither a right-sizing policy nor a policy to encourage efficient vehicle usage is in place",0,"")))</f>
        <v>0.25</v>
      </c>
      <c r="F37" s="39" t="s">
        <v>367</v>
      </c>
    </row>
    <row r="38" spans="1:6" ht="45" outlineLevel="1">
      <c r="A38" s="288"/>
      <c r="B38" s="30" t="s">
        <v>660</v>
      </c>
      <c r="C38" s="104" t="s">
        <v>1805</v>
      </c>
      <c r="D38" s="101" t="s">
        <v>1806</v>
      </c>
      <c r="E38" s="267" t="str">
        <f>IF(D38="Yes, publically installed charging stations are available for private vehicles",0.5,IF(D38="Publically installed charging stations are only available to government vehicles",0.25,IF(D38="The city has not installed electric vehicle charging stations",0,"")))</f>
        <v/>
      </c>
      <c r="F38" s="39" t="s">
        <v>367</v>
      </c>
    </row>
    <row r="39" spans="1:6" ht="45" outlineLevel="1">
      <c r="A39" s="45" t="s">
        <v>1720</v>
      </c>
      <c r="B39" s="30" t="s">
        <v>663</v>
      </c>
      <c r="C39" s="282" t="s">
        <v>1807</v>
      </c>
      <c r="D39" s="101" t="s">
        <v>1785</v>
      </c>
      <c r="E39" s="267" t="str">
        <f>IF(D39="Yes, energy efficiency requirements, such as ENERGY STAR, are in place",0.5,IF(D39="LEED requirements, which also emphasize energy efficiency, are in place",0.5,IF(D39="LEED requirements, which do not emphasize energy efficiency, are in place",0.25,IF(D39="No energy efficiency requirements are in place for new public buildings",0,""))))</f>
        <v/>
      </c>
      <c r="F39" s="39" t="s">
        <v>367</v>
      </c>
    </row>
    <row r="40" spans="1:6" ht="165" outlineLevel="1">
      <c r="A40" s="26" t="s">
        <v>1721</v>
      </c>
      <c r="B40" s="30" t="s">
        <v>640</v>
      </c>
      <c r="C40" s="104" t="s">
        <v>1809</v>
      </c>
      <c r="D40" s="101" t="s">
        <v>1808</v>
      </c>
      <c r="E40" s="267" t="str">
        <f>IF(D40="Yes, the city has an energy performance strategy that includes building improvements",1,IF(D40="Yes, the city is a Better Building Partner",1,IF(D40="Although a policy is not place, the city has made substantial efficiency investments",0.5,IF(D40="No, the city does not have a retrofit policy in place",0,""))))</f>
        <v/>
      </c>
      <c r="F40" s="39" t="s">
        <v>367</v>
      </c>
    </row>
    <row r="41" spans="1:6" ht="60" outlineLevel="1">
      <c r="A41" s="45" t="s">
        <v>1722</v>
      </c>
      <c r="B41" s="30" t="s">
        <v>645</v>
      </c>
      <c r="C41" s="282" t="s">
        <v>1809</v>
      </c>
      <c r="D41" s="101" t="s">
        <v>667</v>
      </c>
      <c r="E41" s="267">
        <f>IF(D41="Yes, the city has implemented an aforementioned sustainable infrastructure policy",1,IF(D41="No, the city has not implemented an aforementioned sustainable infrastructure policy",0,""))</f>
        <v>0</v>
      </c>
      <c r="F41" s="39" t="s">
        <v>367</v>
      </c>
    </row>
    <row r="42" spans="1:6" outlineLevel="1">
      <c r="E42" s="269"/>
    </row>
    <row r="43" spans="1:6" ht="30.75" outlineLevel="1" thickBot="1">
      <c r="D43" s="5" t="s">
        <v>1706</v>
      </c>
      <c r="E43" s="280">
        <f>SUM(E31:E42)</f>
        <v>1.25</v>
      </c>
    </row>
    <row r="44" spans="1:6" ht="15.75" outlineLevel="1" thickTop="1">
      <c r="E44" s="269"/>
    </row>
    <row r="45" spans="1:6" outlineLevel="1">
      <c r="E45" s="269"/>
    </row>
    <row r="46" spans="1:6" ht="15.75" thickBot="1">
      <c r="D46" s="5" t="s">
        <v>354</v>
      </c>
      <c r="E46" s="280">
        <f>E15+E25+E43</f>
        <v>2.25</v>
      </c>
    </row>
    <row r="47" spans="1:6" ht="15.75" thickTop="1">
      <c r="E47" s="269"/>
    </row>
  </sheetData>
  <sheetProtection password="C6D8" sheet="1" objects="1" scenarios="1"/>
  <mergeCells count="6">
    <mergeCell ref="A36:A38"/>
    <mergeCell ref="A2:F2"/>
    <mergeCell ref="A8:A9"/>
    <mergeCell ref="A32:A33"/>
    <mergeCell ref="A21:A22"/>
    <mergeCell ref="A12:A13"/>
  </mergeCells>
  <phoneticPr fontId="43" type="noConversion"/>
  <conditionalFormatting sqref="E15">
    <cfRule type="cellIs" dxfId="2" priority="1" operator="equal">
      <formula>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Sheet3">
    <outlinePr summaryBelow="0" summaryRight="0"/>
  </sheetPr>
  <dimension ref="A2:G37"/>
  <sheetViews>
    <sheetView topLeftCell="A28" zoomScaleNormal="100" workbookViewId="0">
      <selection activeCell="C30" sqref="C30"/>
    </sheetView>
  </sheetViews>
  <sheetFormatPr defaultRowHeight="15" outlineLevelRow="1"/>
  <cols>
    <col min="1" max="1" width="15" style="2" customWidth="1"/>
    <col min="2" max="2" width="50.5703125" style="2" customWidth="1"/>
    <col min="3" max="3" width="38.42578125" style="2" customWidth="1"/>
    <col min="4" max="4" width="56.5703125" style="2" customWidth="1"/>
    <col min="5" max="5" width="11.85546875" style="2" customWidth="1"/>
    <col min="6" max="6" width="21.42578125" style="2" customWidth="1"/>
    <col min="7" max="10" width="11" style="2" customWidth="1"/>
    <col min="11" max="11" width="21.140625" style="2" bestFit="1" customWidth="1"/>
    <col min="12" max="12" width="11" style="2" customWidth="1"/>
    <col min="13" max="16384" width="9.140625" style="2"/>
  </cols>
  <sheetData>
    <row r="2" spans="1:7" ht="21">
      <c r="A2" s="289" t="s">
        <v>119</v>
      </c>
      <c r="B2" s="289"/>
      <c r="C2" s="289"/>
      <c r="D2" s="289"/>
      <c r="E2" s="289"/>
      <c r="F2" s="289"/>
    </row>
    <row r="3" spans="1:7" ht="21">
      <c r="B3" s="8"/>
      <c r="C3" s="8"/>
      <c r="D3" s="8"/>
      <c r="E3" s="8"/>
      <c r="F3" s="8"/>
    </row>
    <row r="4" spans="1:7">
      <c r="A4" s="1" t="s">
        <v>44</v>
      </c>
      <c r="B4" s="1" t="s">
        <v>133</v>
      </c>
    </row>
    <row r="5" spans="1:7" outlineLevel="1">
      <c r="C5" s="43"/>
    </row>
    <row r="6" spans="1:7" outlineLevel="1">
      <c r="A6" s="1" t="s">
        <v>438</v>
      </c>
      <c r="B6" s="1" t="s">
        <v>369</v>
      </c>
      <c r="C6" s="1" t="s">
        <v>362</v>
      </c>
      <c r="D6" s="1" t="s">
        <v>505</v>
      </c>
      <c r="E6" s="266" t="s">
        <v>352</v>
      </c>
      <c r="F6" s="4" t="s">
        <v>353</v>
      </c>
    </row>
    <row r="7" spans="1:7" ht="45" outlineLevel="1">
      <c r="A7" s="26" t="s">
        <v>1717</v>
      </c>
      <c r="B7" s="29" t="s">
        <v>220</v>
      </c>
      <c r="C7" s="99" t="s">
        <v>1810</v>
      </c>
      <c r="D7" s="99" t="s">
        <v>1785</v>
      </c>
      <c r="E7" s="277" t="str">
        <f>IF(D7="At least one full-time employee is dedicated to energy management and coordination",0.5,IF(D7="No full-time staff are dedicated to energy management and coordination",0,""))</f>
        <v/>
      </c>
      <c r="F7" s="39" t="s">
        <v>367</v>
      </c>
    </row>
    <row r="8" spans="1:7" ht="60" outlineLevel="1">
      <c r="A8" s="26" t="s">
        <v>57</v>
      </c>
      <c r="B8" s="30" t="s">
        <v>55</v>
      </c>
      <c r="C8" s="104" t="s">
        <v>1812</v>
      </c>
      <c r="D8" s="100" t="s">
        <v>884</v>
      </c>
      <c r="E8" s="271" t="str">
        <f>IF(D8="Yes, urban heat mitigation programs have been implemented",1,IF(D8="No, urban heat mitigation programs have not been implemented",0,""))</f>
        <v/>
      </c>
      <c r="F8" s="39" t="s">
        <v>367</v>
      </c>
      <c r="G8" s="35"/>
    </row>
    <row r="9" spans="1:7" outlineLevel="1">
      <c r="E9" s="269"/>
    </row>
    <row r="10" spans="1:7" ht="15.75" outlineLevel="1" thickBot="1">
      <c r="D10" s="5" t="s">
        <v>1707</v>
      </c>
      <c r="E10" s="270">
        <f>SUM(E7:E9)</f>
        <v>0</v>
      </c>
      <c r="G10"/>
    </row>
    <row r="11" spans="1:7" ht="15.75" outlineLevel="1" thickTop="1">
      <c r="D11" s="7"/>
      <c r="E11" s="276"/>
      <c r="G11"/>
    </row>
    <row r="12" spans="1:7" outlineLevel="1">
      <c r="E12" s="269"/>
      <c r="G12"/>
    </row>
    <row r="13" spans="1:7">
      <c r="A13" s="1" t="s">
        <v>45</v>
      </c>
      <c r="B13" s="1" t="s">
        <v>131</v>
      </c>
      <c r="E13" s="269"/>
    </row>
    <row r="14" spans="1:7" outlineLevel="1">
      <c r="E14" s="269"/>
    </row>
    <row r="15" spans="1:7" outlineLevel="1">
      <c r="A15" s="1" t="s">
        <v>438</v>
      </c>
      <c r="B15" s="1" t="s">
        <v>369</v>
      </c>
      <c r="C15" s="1" t="s">
        <v>362</v>
      </c>
      <c r="D15" s="1" t="s">
        <v>505</v>
      </c>
      <c r="E15" s="266" t="s">
        <v>352</v>
      </c>
      <c r="F15" s="4" t="s">
        <v>353</v>
      </c>
    </row>
    <row r="16" spans="1:7" ht="45" outlineLevel="1">
      <c r="A16" s="26" t="s">
        <v>283</v>
      </c>
      <c r="B16" s="30" t="s">
        <v>509</v>
      </c>
      <c r="C16" s="104" t="s">
        <v>1811</v>
      </c>
      <c r="D16" s="100"/>
      <c r="E16" s="272" t="str">
        <f>IF(D16="Yes, an annual report is released tracking progress towards energy-related goals",0.5,IF(D16="No annual report is released detailing progress on energy efficiency efforts",0,""))</f>
        <v/>
      </c>
      <c r="F16" s="39" t="s">
        <v>367</v>
      </c>
    </row>
    <row r="17" spans="1:6" outlineLevel="1">
      <c r="E17" s="278"/>
    </row>
    <row r="18" spans="1:6" ht="15.75" outlineLevel="1" thickBot="1">
      <c r="D18" s="5" t="s">
        <v>1708</v>
      </c>
      <c r="E18" s="270">
        <f>SUM(E16:E16)</f>
        <v>0</v>
      </c>
    </row>
    <row r="19" spans="1:6" ht="15.75" outlineLevel="1" thickTop="1">
      <c r="D19" s="3"/>
      <c r="E19" s="269"/>
    </row>
    <row r="20" spans="1:6" outlineLevel="1">
      <c r="D20" s="3"/>
      <c r="E20" s="269"/>
    </row>
    <row r="21" spans="1:6" ht="30">
      <c r="A21" s="1" t="s">
        <v>46</v>
      </c>
      <c r="B21" s="1" t="s">
        <v>124</v>
      </c>
      <c r="E21" s="269"/>
    </row>
    <row r="22" spans="1:6" outlineLevel="1">
      <c r="E22" s="269"/>
    </row>
    <row r="23" spans="1:6" outlineLevel="1">
      <c r="A23" s="1" t="s">
        <v>438</v>
      </c>
      <c r="B23" s="1" t="s">
        <v>369</v>
      </c>
      <c r="C23" s="1" t="s">
        <v>362</v>
      </c>
      <c r="D23" s="1" t="s">
        <v>505</v>
      </c>
      <c r="E23" s="266" t="s">
        <v>352</v>
      </c>
      <c r="F23" s="4" t="s">
        <v>353</v>
      </c>
    </row>
    <row r="24" spans="1:6" ht="90" outlineLevel="1">
      <c r="A24" s="26" t="s">
        <v>994</v>
      </c>
      <c r="B24" s="30" t="s">
        <v>483</v>
      </c>
      <c r="C24" s="104" t="s">
        <v>1813</v>
      </c>
      <c r="D24" s="100" t="s">
        <v>61</v>
      </c>
      <c r="E24" s="267">
        <f>IF(D24="Yes, target formally adopted and mainstreamed across community activities",2,IF(D24="Target formally adopted but not mainstreamed across community activities",1.5,IF(D24="Target identified through proposal or draft action plan, but not formally adopted",1,IF(D24="Stakeholder group formed to formulate targets, but targets not yet identified",0.5,IF(D24="Target identified for only specific neighborhoods rather than whole community",0.5,"")))))</f>
        <v>2</v>
      </c>
      <c r="F24" s="40" t="s">
        <v>367</v>
      </c>
    </row>
    <row r="25" spans="1:6" ht="120" outlineLevel="1">
      <c r="A25" s="286" t="s">
        <v>481</v>
      </c>
      <c r="B25" s="30" t="s">
        <v>1744</v>
      </c>
      <c r="C25" s="104" t="s">
        <v>1814</v>
      </c>
      <c r="D25" s="100" t="s">
        <v>486</v>
      </c>
      <c r="E25" s="267">
        <f>IF(D25="Yes, dedicated funding is allocated for energy efficiency goals",0.5,IF(D25="No, dedicated funding does not exist for energy efficiency goals",0,""))</f>
        <v>0.5</v>
      </c>
      <c r="F25" s="40" t="s">
        <v>367</v>
      </c>
    </row>
    <row r="26" spans="1:6" ht="53.25" customHeight="1" outlineLevel="1">
      <c r="A26" s="287"/>
      <c r="B26" s="30" t="s">
        <v>62</v>
      </c>
      <c r="C26" s="104" t="s">
        <v>884</v>
      </c>
      <c r="D26" s="100" t="s">
        <v>64</v>
      </c>
      <c r="E26" s="267">
        <f>IF(D26="Yes, there is independent EM&amp;V of progress toward community efficiency goals",0.5,IF(D26="No, there is no independent EM&amp;V of progress toward community efficiency goals",0,""))</f>
        <v>0</v>
      </c>
      <c r="F26" s="40" t="s">
        <v>367</v>
      </c>
    </row>
    <row r="27" spans="1:6" ht="45" outlineLevel="1">
      <c r="A27" s="288"/>
      <c r="B27" s="30" t="s">
        <v>65</v>
      </c>
      <c r="C27" s="104" t="s">
        <v>1815</v>
      </c>
      <c r="D27" s="101" t="s">
        <v>488</v>
      </c>
      <c r="E27" s="267">
        <f>IF(D27="Yes, the city is on track to meet energy efficiency goals",1,IF(OR(D27="No, the city is not on track to meet energy efficiency goals",D27="Unknown, the community cannot currently quantify progress towards goals"),0,""))</f>
        <v>0</v>
      </c>
      <c r="F27" s="40" t="s">
        <v>367</v>
      </c>
    </row>
    <row r="28" spans="1:6" ht="60" customHeight="1" outlineLevel="1">
      <c r="A28" s="286" t="s">
        <v>1406</v>
      </c>
      <c r="B28" s="30" t="s">
        <v>66</v>
      </c>
      <c r="C28" s="104" t="s">
        <v>1816</v>
      </c>
      <c r="D28" s="101" t="s">
        <v>1817</v>
      </c>
      <c r="E28" s="267" t="str">
        <f>IF(D28="City has CHP capacity of 15MW or greater per 100,000 residents",2,IF(D28="City has CHP capacity of 10MW or greater per 100,000 residents",1.5,IF(D28="City has CHP capacity of 5 MW or greater per 100,000 residents",1,IF(D28="City has CHP capacity of 2.5 MW or greater per 100,000 residents",0.5,IF(D28="City has no CHP capacity",0,"")))))</f>
        <v/>
      </c>
      <c r="F28" s="42" t="s">
        <v>512</v>
      </c>
    </row>
    <row r="29" spans="1:6" ht="30" outlineLevel="1">
      <c r="A29" s="288"/>
      <c r="B29" s="30" t="s">
        <v>67</v>
      </c>
      <c r="C29" s="104" t="s">
        <v>1818</v>
      </c>
      <c r="D29" s="101" t="s">
        <v>1819</v>
      </c>
      <c r="E29" s="267" t="str">
        <f>IF(D29="City has at least one district energy system that integrates CHP",1,IF(D29="City has at least one district energy system, but does not integrate with CHP",0.5,IF(D29="No installed CHP, but city has done significant planning for future district energy",0.5,IF(D29="City has no district energy and has not planned for future systems",0,""))))</f>
        <v/>
      </c>
      <c r="F29" s="42" t="s">
        <v>512</v>
      </c>
    </row>
    <row r="30" spans="1:6" ht="60" outlineLevel="1">
      <c r="A30" s="26" t="s">
        <v>53</v>
      </c>
      <c r="B30" s="30" t="s">
        <v>501</v>
      </c>
      <c r="C30" s="104" t="s">
        <v>1820</v>
      </c>
      <c r="D30" s="101" t="s">
        <v>504</v>
      </c>
      <c r="E30" s="267">
        <f>IF(D30="Yes, policies are in place to manage to urban heat island effect",1,IF(D30="No, policies are not in place to manage to urban heat island effect",0,""))</f>
        <v>0</v>
      </c>
      <c r="F30" s="39" t="s">
        <v>367</v>
      </c>
    </row>
    <row r="31" spans="1:6" outlineLevel="1">
      <c r="E31" s="269"/>
    </row>
    <row r="32" spans="1:6" ht="30.75" outlineLevel="1" thickBot="1">
      <c r="D32" s="5" t="s">
        <v>1709</v>
      </c>
      <c r="E32" s="279">
        <f>SUM(E24:E31)</f>
        <v>2.5</v>
      </c>
    </row>
    <row r="33" spans="4:5" ht="15.75" outlineLevel="1" thickTop="1">
      <c r="E33" s="269"/>
    </row>
    <row r="34" spans="4:5" outlineLevel="1">
      <c r="E34" s="269"/>
    </row>
    <row r="35" spans="4:5" ht="15.75" thickBot="1">
      <c r="D35" s="5" t="s">
        <v>354</v>
      </c>
      <c r="E35" s="280">
        <f>E10+E18+E32</f>
        <v>2.5</v>
      </c>
    </row>
    <row r="36" spans="4:5" ht="15.75" thickTop="1">
      <c r="E36" s="269"/>
    </row>
    <row r="37" spans="4:5">
      <c r="E37" s="269"/>
    </row>
  </sheetData>
  <sheetProtection password="C6D8" sheet="1" objects="1" scenarios="1"/>
  <mergeCells count="3">
    <mergeCell ref="A25:A27"/>
    <mergeCell ref="A28:A29"/>
    <mergeCell ref="A2:F2"/>
  </mergeCells>
  <phoneticPr fontId="43" type="noConversion"/>
  <hyperlinks>
    <hyperlink ref="F28" r:id="rId1" display="ICF International"/>
    <hyperlink ref="F29" r:id="rId2" display="ICF International"/>
  </hyperlinks>
  <pageMargins left="0.7" right="0.7" top="0.75" bottom="0.75" header="0.3" footer="0.3"/>
  <pageSetup orientation="portrait" r:id="rId3"/>
  <legacyDrawing r:id="rId4"/>
</worksheet>
</file>

<file path=xl/worksheets/sheet4.xml><?xml version="1.0" encoding="utf-8"?>
<worksheet xmlns="http://schemas.openxmlformats.org/spreadsheetml/2006/main" xmlns:r="http://schemas.openxmlformats.org/officeDocument/2006/relationships">
  <sheetPr codeName="Sheet4">
    <outlinePr summaryBelow="0" summaryRight="0"/>
  </sheetPr>
  <dimension ref="A2:H68"/>
  <sheetViews>
    <sheetView topLeftCell="A46" workbookViewId="0">
      <selection activeCell="C54" sqref="C54"/>
    </sheetView>
  </sheetViews>
  <sheetFormatPr defaultRowHeight="15" outlineLevelRow="1"/>
  <cols>
    <col min="1" max="1" width="15" style="2" customWidth="1"/>
    <col min="2" max="2" width="50.5703125" style="2" customWidth="1"/>
    <col min="3" max="3" width="38.42578125" style="2" customWidth="1"/>
    <col min="4" max="4" width="51.5703125" style="2" customWidth="1"/>
    <col min="5" max="5" width="14.28515625" style="2" customWidth="1"/>
    <col min="6" max="6" width="21.42578125" style="2" customWidth="1"/>
    <col min="7" max="10" width="11" style="2" customWidth="1"/>
    <col min="11" max="11" width="21.140625" style="2" bestFit="1" customWidth="1"/>
    <col min="12" max="12" width="11" style="2" customWidth="1"/>
    <col min="13" max="16384" width="9.140625" style="2"/>
  </cols>
  <sheetData>
    <row r="2" spans="1:8" ht="21">
      <c r="A2" s="289" t="s">
        <v>120</v>
      </c>
      <c r="B2" s="289"/>
      <c r="C2" s="289"/>
      <c r="D2" s="289"/>
      <c r="E2" s="289"/>
      <c r="F2" s="289"/>
    </row>
    <row r="3" spans="1:8" ht="21.75" thickBot="1">
      <c r="B3" s="8"/>
      <c r="C3" s="8"/>
      <c r="D3" s="8"/>
      <c r="E3" s="8"/>
      <c r="F3" s="8"/>
    </row>
    <row r="4" spans="1:8" ht="30.75" thickBot="1">
      <c r="B4" s="297" t="s">
        <v>676</v>
      </c>
      <c r="C4" s="298"/>
      <c r="D4" s="299"/>
      <c r="E4" s="55" t="s">
        <v>353</v>
      </c>
      <c r="F4" s="8"/>
    </row>
    <row r="5" spans="1:8" ht="78" customHeight="1">
      <c r="B5" s="293" t="s">
        <v>218</v>
      </c>
      <c r="C5" s="294"/>
      <c r="D5" s="97" t="s">
        <v>1821</v>
      </c>
      <c r="E5" s="60" t="s">
        <v>367</v>
      </c>
    </row>
    <row r="6" spans="1:8" ht="72.75" customHeight="1" thickBot="1">
      <c r="B6" s="295" t="s">
        <v>219</v>
      </c>
      <c r="C6" s="296"/>
      <c r="D6" s="117" t="s">
        <v>1822</v>
      </c>
      <c r="E6" s="118" t="s">
        <v>367</v>
      </c>
      <c r="F6" s="74"/>
    </row>
    <row r="7" spans="1:8" ht="21">
      <c r="B7" s="8"/>
      <c r="C7" s="8"/>
      <c r="D7" s="8"/>
      <c r="E7" s="8"/>
      <c r="F7" s="8"/>
    </row>
    <row r="8" spans="1:8">
      <c r="A8" s="1" t="s">
        <v>44</v>
      </c>
      <c r="B8" s="1" t="s">
        <v>224</v>
      </c>
      <c r="E8" s="67"/>
    </row>
    <row r="9" spans="1:8" outlineLevel="1">
      <c r="C9" s="43"/>
    </row>
    <row r="10" spans="1:8" outlineLevel="1">
      <c r="A10" s="26" t="s">
        <v>438</v>
      </c>
      <c r="B10" s="1" t="s">
        <v>369</v>
      </c>
      <c r="C10" s="1" t="s">
        <v>362</v>
      </c>
      <c r="D10" s="1" t="s">
        <v>505</v>
      </c>
      <c r="E10" s="266" t="s">
        <v>352</v>
      </c>
      <c r="F10" s="4" t="s">
        <v>353</v>
      </c>
    </row>
    <row r="11" spans="1:8" ht="30" outlineLevel="1">
      <c r="A11" s="290" t="s">
        <v>1745</v>
      </c>
      <c r="B11" s="53" t="str">
        <f>IF(D5="Local Authority Permitted","Has the city adopted a residential energy code more stringent than required by state law? If so, how stringent is it?",IF(D5="Local Code Only","What residential building energy code, if any, has been adopted for your city?","What residential building energy code is in place in your state?"))</f>
        <v>What residential building energy code is in place in your state?</v>
      </c>
      <c r="C11" s="104" t="s">
        <v>1823</v>
      </c>
      <c r="D11" s="104" t="s">
        <v>1823</v>
      </c>
      <c r="E11" s="273" t="b">
        <f ca="1">IF(ISBLANK(D11),"",IF(ISBLANK(D5),"",IF(D5="State Authority Only",VLOOKUP(D11,'Hidden Sheet'!A66:B70,2,FALSE),IF(D5="Local Authority Permitted",VLOOKUP(D11,'Hidden Sheet'!A73:B77,2,FALSE),IF(D5="Local Code Only",VLOOKUP(D11,'Hidden Sheet'!A73:B77,2,FALSE))))))</f>
        <v>0</v>
      </c>
      <c r="F11" s="41" t="s">
        <v>388</v>
      </c>
      <c r="G11" s="70"/>
      <c r="H11" s="6"/>
    </row>
    <row r="12" spans="1:8" ht="33.75" customHeight="1" outlineLevel="1">
      <c r="A12" s="290"/>
      <c r="B12" s="73" t="str">
        <f ca="1">IF(D5="State Authority Only","",IF(D5="Local Code Only","",IF(AND(D5="Local Authority Permitted",D11='Hidden Sheet'!G58),"How stringent is the state residential energy code to which the city needs to adhere?","")))</f>
        <v/>
      </c>
      <c r="C12" s="104"/>
      <c r="D12" s="104"/>
      <c r="E12" s="268" t="str">
        <f ca="1">IF(D12="","",VLOOKUP(D12,'Hidden Sheet'!D66:E70,2,FALSE))</f>
        <v/>
      </c>
      <c r="F12" s="41" t="s">
        <v>388</v>
      </c>
      <c r="G12" s="70"/>
      <c r="H12" s="6"/>
    </row>
    <row r="13" spans="1:8" ht="51" customHeight="1" outlineLevel="1">
      <c r="A13" s="286" t="s">
        <v>1746</v>
      </c>
      <c r="B13" s="53" t="str">
        <f ca="1">IF(D6="Local Authority Permitted","Has the city adopted a commercial energy code more stringent than required by state law? If so, how stringent is it?",IF(D6="Local Code Only","What commercial building energy code, if any, has been adopted for your city?","What commercial building energy code is in place in your state?"))</f>
        <v>What commercial building energy code is in place in your state?</v>
      </c>
      <c r="C13" s="104" t="s">
        <v>1824</v>
      </c>
      <c r="D13" s="104" t="s">
        <v>1824</v>
      </c>
      <c r="E13" s="273" t="b">
        <f ca="1">IF(ISBLANK(D13),"",IF(ISBLANK(D6),"",IF(D6="State Authority Only",VLOOKUP(D13,'Hidden Sheet'!A80:B84,2,FALSE),IF(D6="Local Authority Permitted",VLOOKUP(D13,'Hidden Sheet'!A87:B91,2,FALSE),IF(D6="Local Code Only",VLOOKUP(D13,'Hidden Sheet'!A87:B91,2,FALSE))))))</f>
        <v>0</v>
      </c>
      <c r="F13" s="41" t="s">
        <v>388</v>
      </c>
      <c r="G13" s="70"/>
      <c r="H13" s="6"/>
    </row>
    <row r="14" spans="1:8" ht="30" customHeight="1" outlineLevel="1">
      <c r="A14" s="288"/>
      <c r="B14" s="58" t="str">
        <f ca="1">IF(D6="State Authority Only","",IF(D6="Local Code Only","",IF(AND(D6="Local Authority Permitted",D13='Hidden Sheet'!G58),"How stringent is the state commercial energy code to which the city needs to adhere?","")))</f>
        <v/>
      </c>
      <c r="C14" s="104"/>
      <c r="D14" s="104"/>
      <c r="E14" s="273" t="str">
        <f ca="1">IF(D14="","",VLOOKUP(Buildings!D14,'Hidden Sheet'!D80:E84,2,FALSE))</f>
        <v/>
      </c>
      <c r="F14" s="41" t="s">
        <v>388</v>
      </c>
      <c r="G14" s="70"/>
      <c r="H14" s="6"/>
    </row>
    <row r="15" spans="1:8" ht="60" outlineLevel="1">
      <c r="A15" s="26" t="s">
        <v>1723</v>
      </c>
      <c r="B15" s="31" t="s">
        <v>223</v>
      </c>
      <c r="C15" s="104" t="s">
        <v>1825</v>
      </c>
      <c r="D15" s="106"/>
      <c r="E15" s="268" t="str">
        <f>IF(D15="More than $60",2,IF(D15="&lt;$30 to &lt;$60",1.5,IF(D15="&lt;$20 to &lt;$30",1,IF(D15="&lt;$10 to &lt;$20",0.5,IF(D15="Less than $10",0,"")))))</f>
        <v/>
      </c>
      <c r="F15" s="41" t="s">
        <v>165</v>
      </c>
      <c r="G15" s="6"/>
      <c r="H15" s="6"/>
    </row>
    <row r="16" spans="1:8" outlineLevel="1">
      <c r="E16" s="269"/>
      <c r="G16" s="6"/>
      <c r="H16" s="6"/>
    </row>
    <row r="17" spans="1:8" ht="15.75" outlineLevel="1" thickBot="1">
      <c r="D17" s="5" t="s">
        <v>1710</v>
      </c>
      <c r="E17" s="275">
        <f>SUM(E11:E15)</f>
        <v>0</v>
      </c>
      <c r="G17" s="81"/>
      <c r="H17" s="6"/>
    </row>
    <row r="18" spans="1:8" ht="15.75" outlineLevel="1" thickTop="1">
      <c r="D18" s="7"/>
      <c r="E18" s="276"/>
      <c r="G18" s="81"/>
      <c r="H18" s="6"/>
    </row>
    <row r="19" spans="1:8" outlineLevel="1">
      <c r="E19" s="269"/>
      <c r="G19" s="81"/>
      <c r="H19" s="6"/>
    </row>
    <row r="20" spans="1:8">
      <c r="A20" s="1" t="s">
        <v>45</v>
      </c>
      <c r="B20" s="1" t="s">
        <v>225</v>
      </c>
      <c r="E20" s="269"/>
      <c r="G20" s="6"/>
      <c r="H20" s="6"/>
    </row>
    <row r="21" spans="1:8" outlineLevel="1">
      <c r="E21" s="269"/>
      <c r="G21" s="6"/>
      <c r="H21" s="6"/>
    </row>
    <row r="22" spans="1:8" outlineLevel="1">
      <c r="A22" s="1" t="s">
        <v>438</v>
      </c>
      <c r="B22" s="1" t="s">
        <v>369</v>
      </c>
      <c r="C22" s="1" t="s">
        <v>362</v>
      </c>
      <c r="D22" s="1" t="s">
        <v>505</v>
      </c>
      <c r="E22" s="266" t="s">
        <v>352</v>
      </c>
      <c r="F22" s="4" t="s">
        <v>353</v>
      </c>
      <c r="G22" s="6"/>
      <c r="H22" s="6"/>
    </row>
    <row r="23" spans="1:8" ht="45" outlineLevel="1">
      <c r="A23" s="27" t="s">
        <v>1747</v>
      </c>
      <c r="B23" s="30" t="s">
        <v>387</v>
      </c>
      <c r="C23" s="104" t="s">
        <v>1826</v>
      </c>
      <c r="D23" s="110"/>
      <c r="E23" s="272" t="str">
        <f>IF(D23="Yes, we provide a form of upfront compliance support",2,IF(D23="No, we do not provide compliance support",0,""))</f>
        <v/>
      </c>
      <c r="F23" s="40" t="s">
        <v>367</v>
      </c>
      <c r="G23" s="6"/>
      <c r="H23" s="6"/>
    </row>
    <row r="24" spans="1:8" ht="30" outlineLevel="1">
      <c r="A24" s="26" t="s">
        <v>76</v>
      </c>
      <c r="B24" s="30" t="s">
        <v>389</v>
      </c>
      <c r="C24" s="104" t="s">
        <v>1775</v>
      </c>
      <c r="D24" s="100" t="s">
        <v>88</v>
      </c>
      <c r="E24" s="272">
        <f>IF(D24="Yes, requirements exist for both residential AND commercial buildings",1,IF(D24="Yes, requirements exist for residential OR commercial buildings",0.5,IF(D24="No, the city does not have energy audit requirements",0,"")))</f>
        <v>0</v>
      </c>
      <c r="F24" s="40" t="s">
        <v>367</v>
      </c>
      <c r="G24" s="6"/>
      <c r="H24" s="6"/>
    </row>
    <row r="25" spans="1:8" ht="60" outlineLevel="1">
      <c r="A25" s="290" t="s">
        <v>1459</v>
      </c>
      <c r="B25" s="30" t="s">
        <v>1748</v>
      </c>
      <c r="C25" s="104" t="s">
        <v>1827</v>
      </c>
      <c r="D25" s="100" t="s">
        <v>90</v>
      </c>
      <c r="E25" s="272">
        <f>IF(D25="Yes, one of these requirements has been passed and implemented",1,IF(D25="One of these requirements has been implemented, but not formally passed",0.5,IF(D25="No, the city does not have one of these requirements",0,"")))</f>
        <v>0</v>
      </c>
      <c r="F25" s="40" t="s">
        <v>367</v>
      </c>
      <c r="G25" s="6"/>
      <c r="H25" s="6"/>
    </row>
    <row r="26" spans="1:8" ht="45" outlineLevel="1">
      <c r="A26" s="290"/>
      <c r="B26" s="30" t="s">
        <v>1764</v>
      </c>
      <c r="C26" s="104" t="s">
        <v>1828</v>
      </c>
      <c r="D26" s="113">
        <v>0</v>
      </c>
      <c r="E26" s="272">
        <f ca="1">IF(D26="","",VLOOKUP(D26,'Hidden Sheet'!A102:B106,2))</f>
        <v>0</v>
      </c>
      <c r="F26" s="40" t="s">
        <v>367</v>
      </c>
      <c r="G26" s="6"/>
      <c r="H26" s="6"/>
    </row>
    <row r="27" spans="1:8" ht="45" outlineLevel="1">
      <c r="A27" s="291" t="s">
        <v>1749</v>
      </c>
      <c r="B27" s="30" t="s">
        <v>1750</v>
      </c>
      <c r="C27" s="104" t="s">
        <v>1829</v>
      </c>
      <c r="D27" s="113" t="s">
        <v>90</v>
      </c>
      <c r="E27" s="272">
        <f ca="1">IF(D27="Yes, one of these requirements has been passed and implemented",1,IF(D27="One of these requirements has been implemented, but not formally passed",0.5,IF(D27="No, the city does not have one of these requirements",0,"")))</f>
        <v>0</v>
      </c>
      <c r="F27" s="40" t="s">
        <v>367</v>
      </c>
      <c r="G27" s="6"/>
      <c r="H27" s="6"/>
    </row>
    <row r="28" spans="1:8" ht="45" outlineLevel="1">
      <c r="A28" s="292"/>
      <c r="B28" s="30" t="s">
        <v>1765</v>
      </c>
      <c r="C28" s="104" t="s">
        <v>1830</v>
      </c>
      <c r="D28" s="104">
        <v>0</v>
      </c>
      <c r="E28" s="272">
        <f ca="1">IF(D28="","",VLOOKUP(D28,'Hidden Sheet'!A102:B106,2))</f>
        <v>0</v>
      </c>
      <c r="F28" s="40" t="s">
        <v>367</v>
      </c>
      <c r="G28" s="6"/>
      <c r="H28" s="6"/>
    </row>
    <row r="29" spans="1:8" ht="60" outlineLevel="1">
      <c r="A29" s="292"/>
      <c r="B29" s="30" t="s">
        <v>448</v>
      </c>
      <c r="C29" s="104" t="s">
        <v>1831</v>
      </c>
      <c r="D29" s="100" t="s">
        <v>451</v>
      </c>
      <c r="E29" s="272">
        <f>IF(D29="Yes, energy efficiency features are on the MLS that serves the metro area",0.5,IF(D29="No, energy efficiency features are not on the MLS",0,""))</f>
        <v>0</v>
      </c>
      <c r="F29" s="39" t="s">
        <v>367</v>
      </c>
      <c r="G29" s="6"/>
      <c r="H29" s="6"/>
    </row>
    <row r="30" spans="1:8" outlineLevel="1">
      <c r="E30" s="269"/>
      <c r="G30" s="6"/>
      <c r="H30" s="6"/>
    </row>
    <row r="31" spans="1:8" ht="15.75" outlineLevel="1" thickBot="1">
      <c r="D31" s="5" t="s">
        <v>1711</v>
      </c>
      <c r="E31" s="274">
        <f>SUM(E23:E29)</f>
        <v>0</v>
      </c>
      <c r="G31" s="6"/>
      <c r="H31" s="6"/>
    </row>
    <row r="32" spans="1:8" ht="15.75" outlineLevel="1" thickTop="1">
      <c r="D32" s="3"/>
      <c r="E32" s="269"/>
      <c r="G32" s="6"/>
      <c r="H32" s="6"/>
    </row>
    <row r="33" spans="1:8" outlineLevel="1">
      <c r="D33" s="3"/>
      <c r="E33" s="269"/>
      <c r="G33" s="6"/>
      <c r="H33" s="6"/>
    </row>
    <row r="34" spans="1:8" ht="30">
      <c r="A34" s="1" t="s">
        <v>46</v>
      </c>
      <c r="B34" s="1" t="s">
        <v>128</v>
      </c>
      <c r="D34" s="59"/>
      <c r="E34" s="269"/>
      <c r="G34" s="6"/>
      <c r="H34" s="6"/>
    </row>
    <row r="35" spans="1:8" outlineLevel="1">
      <c r="E35" s="269"/>
      <c r="G35" s="6"/>
      <c r="H35" s="6"/>
    </row>
    <row r="36" spans="1:8" outlineLevel="1">
      <c r="A36" s="1" t="s">
        <v>438</v>
      </c>
      <c r="B36" s="1" t="s">
        <v>369</v>
      </c>
      <c r="C36" s="1" t="s">
        <v>362</v>
      </c>
      <c r="D36" s="1" t="s">
        <v>505</v>
      </c>
      <c r="E36" s="266" t="s">
        <v>352</v>
      </c>
      <c r="F36" s="4" t="s">
        <v>353</v>
      </c>
      <c r="G36" s="6"/>
      <c r="H36" s="6"/>
    </row>
    <row r="37" spans="1:8" ht="45" outlineLevel="1">
      <c r="A37" s="1" t="s">
        <v>1724</v>
      </c>
      <c r="B37" s="30" t="s">
        <v>1751</v>
      </c>
      <c r="C37" s="100" t="s">
        <v>1831</v>
      </c>
      <c r="D37" s="100" t="s">
        <v>163</v>
      </c>
      <c r="E37" s="267">
        <f>IF(D37="Yes, the city has established an energy savings target for buildings",1,IF(D37="No, the city has not established an energy savings targets for buildings",0,""))</f>
        <v>0</v>
      </c>
      <c r="F37" s="44" t="s">
        <v>100</v>
      </c>
      <c r="G37" s="6"/>
      <c r="H37" s="6"/>
    </row>
    <row r="38" spans="1:8" ht="45" outlineLevel="1">
      <c r="A38" s="26" t="s">
        <v>73</v>
      </c>
      <c r="B38" s="57" t="str">
        <f>IF(D5="Local Authority Permitted","",IF(D5="Local Code Only","","Does the city advocate for more stringent residential energy codes"))</f>
        <v>Does the city advocate for more stringent residential energy codes</v>
      </c>
      <c r="C38" s="100" t="s">
        <v>884</v>
      </c>
      <c r="D38" s="100" t="s">
        <v>453</v>
      </c>
      <c r="E38" s="267">
        <f>IF(D38="Yes, the city is an active advocate",1.5,IF(D38="No, the city is not an active advocate",0,""))</f>
        <v>0</v>
      </c>
      <c r="F38" s="40" t="s">
        <v>367</v>
      </c>
      <c r="G38" s="6"/>
      <c r="H38" s="6"/>
    </row>
    <row r="39" spans="1:8" ht="54" customHeight="1" outlineLevel="1">
      <c r="A39" s="26" t="s">
        <v>74</v>
      </c>
      <c r="B39" s="57" t="str">
        <f>IF(D6="Local Authority Permitted","",IF(D6="Local Code Only","","Does the city advocate for more stringent commercial energy codes?"))</f>
        <v>Does the city advocate for more stringent commercial energy codes?</v>
      </c>
      <c r="C39" s="100" t="s">
        <v>884</v>
      </c>
      <c r="D39" s="100" t="s">
        <v>453</v>
      </c>
      <c r="E39" s="267">
        <f>IF(D39="Yes, the city is an active advocate",1.5,IF(D39="No, the city is not an active advocate",0,""))</f>
        <v>0</v>
      </c>
      <c r="F39" s="40" t="s">
        <v>367</v>
      </c>
      <c r="G39" s="6"/>
      <c r="H39" s="6"/>
    </row>
    <row r="40" spans="1:8" ht="53.25" customHeight="1" outlineLevel="1">
      <c r="A40" s="26" t="s">
        <v>1725</v>
      </c>
      <c r="B40" s="30" t="s">
        <v>400</v>
      </c>
      <c r="C40" s="100" t="s">
        <v>1831</v>
      </c>
      <c r="D40" s="100" t="s">
        <v>434</v>
      </c>
      <c r="E40" s="271">
        <f>IF(D40="Participation in third-party plan review or performance testing is required",2,IF(D40="Third-party program is set up as a compliance option, but is not mandatory",1,IF(D40="No, third party compliance program exists",0,"")))</f>
        <v>0</v>
      </c>
      <c r="F40" s="39" t="s">
        <v>367</v>
      </c>
      <c r="G40" s="6"/>
      <c r="H40" s="6"/>
    </row>
    <row r="41" spans="1:8" outlineLevel="1">
      <c r="E41" s="269"/>
      <c r="G41" s="6"/>
      <c r="H41" s="6"/>
    </row>
    <row r="42" spans="1:8" ht="30.75" outlineLevel="1" thickBot="1">
      <c r="D42" s="5" t="s">
        <v>1712</v>
      </c>
      <c r="E42" s="274">
        <f>SUM(E37:E41)</f>
        <v>0</v>
      </c>
      <c r="G42" s="6"/>
      <c r="H42" s="6"/>
    </row>
    <row r="43" spans="1:8" ht="15.75" outlineLevel="1" thickTop="1">
      <c r="E43" s="269"/>
      <c r="G43" s="6"/>
      <c r="H43" s="6"/>
    </row>
    <row r="44" spans="1:8" outlineLevel="1">
      <c r="E44" s="269"/>
      <c r="G44" s="6"/>
      <c r="H44" s="6"/>
    </row>
    <row r="45" spans="1:8">
      <c r="A45" s="1" t="s">
        <v>134</v>
      </c>
      <c r="B45" s="1" t="s">
        <v>125</v>
      </c>
      <c r="E45" s="269"/>
      <c r="G45" s="6"/>
      <c r="H45" s="6"/>
    </row>
    <row r="46" spans="1:8" outlineLevel="1">
      <c r="E46" s="269"/>
      <c r="G46" s="6"/>
      <c r="H46" s="6"/>
    </row>
    <row r="47" spans="1:8" outlineLevel="1">
      <c r="A47" s="1" t="s">
        <v>438</v>
      </c>
      <c r="B47" s="1" t="s">
        <v>369</v>
      </c>
      <c r="C47" s="1" t="s">
        <v>362</v>
      </c>
      <c r="D47" s="1" t="s">
        <v>505</v>
      </c>
      <c r="E47" s="266" t="s">
        <v>352</v>
      </c>
      <c r="F47" s="4" t="s">
        <v>353</v>
      </c>
      <c r="G47" s="6"/>
      <c r="H47" s="6"/>
    </row>
    <row r="48" spans="1:8" ht="60" outlineLevel="1">
      <c r="A48" s="63" t="s">
        <v>1726</v>
      </c>
      <c r="B48" s="30" t="s">
        <v>1766</v>
      </c>
      <c r="C48" s="104" t="s">
        <v>1060</v>
      </c>
      <c r="D48" s="114" t="s">
        <v>1832</v>
      </c>
      <c r="E48" s="267" t="e">
        <f ca="1">IF(D48="","",VLOOKUP(D48,'Hidden Sheet'!A118:B124,2,FALSE))</f>
        <v>#N/A</v>
      </c>
      <c r="F48" s="40" t="s">
        <v>367</v>
      </c>
      <c r="G48" s="6"/>
      <c r="H48" s="6"/>
    </row>
    <row r="49" spans="1:8" ht="45" outlineLevel="1">
      <c r="A49" s="28" t="s">
        <v>1142</v>
      </c>
      <c r="B49" s="30" t="s">
        <v>401</v>
      </c>
      <c r="C49" s="104" t="s">
        <v>1776</v>
      </c>
      <c r="D49" s="98" t="s">
        <v>94</v>
      </c>
      <c r="E49" s="267">
        <f>IF(D49="Yes, households have access to a Home Performance",2,IF(D49="No, households do not  have access to a Home Performance",0,""))</f>
        <v>2</v>
      </c>
      <c r="F49" s="41" t="s">
        <v>437</v>
      </c>
      <c r="G49" s="6"/>
      <c r="H49" s="6"/>
    </row>
    <row r="50" spans="1:8" ht="75" outlineLevel="1">
      <c r="A50" s="26" t="s">
        <v>1727</v>
      </c>
      <c r="B50" s="30" t="s">
        <v>1752</v>
      </c>
      <c r="C50" s="104" t="s">
        <v>1833</v>
      </c>
      <c r="D50" s="100" t="s">
        <v>1834</v>
      </c>
      <c r="E50" s="267" t="str">
        <f>IF(D50="Requirements exist for residential AND commercial buildings",2,IF(D50="Requirements exist for residential OR commercial buildings",1,IF(D50="Requirements exist for buildings using public funds",0.5,IF(D50="Above code requirements do not exist",0,""))))</f>
        <v/>
      </c>
      <c r="F50" s="32" t="s">
        <v>367</v>
      </c>
      <c r="G50" s="6"/>
      <c r="H50" s="6"/>
    </row>
    <row r="51" spans="1:8" ht="30" customHeight="1" outlineLevel="1">
      <c r="A51" s="26" t="s">
        <v>1728</v>
      </c>
      <c r="B51" s="36" t="s">
        <v>402</v>
      </c>
      <c r="C51" s="104" t="s">
        <v>1833</v>
      </c>
      <c r="D51" s="100" t="s">
        <v>1770</v>
      </c>
      <c r="E51" s="267">
        <f>IF(D51="Requirement exists for residential AND commercial buildings",2,IF(D51="Requirement exists for residential OR commercial buildings",1,IF(D51="Retrofit requirement does not exist",0,"")))</f>
        <v>0</v>
      </c>
      <c r="F51" s="32" t="s">
        <v>367</v>
      </c>
      <c r="G51" s="6"/>
      <c r="H51" s="6"/>
    </row>
    <row r="52" spans="1:8" ht="15" customHeight="1" outlineLevel="1">
      <c r="E52" s="269"/>
      <c r="G52" s="6"/>
      <c r="H52" s="6"/>
    </row>
    <row r="53" spans="1:8" ht="15.75" customHeight="1" outlineLevel="1" thickBot="1">
      <c r="D53" s="5" t="s">
        <v>1713</v>
      </c>
      <c r="E53" s="274" t="e">
        <f>SUM(E48:E52)</f>
        <v>#N/A</v>
      </c>
      <c r="G53" s="6"/>
      <c r="H53" s="6"/>
    </row>
    <row r="54" spans="1:8" ht="15.75" customHeight="1" outlineLevel="1" thickTop="1">
      <c r="E54" s="269"/>
      <c r="G54" s="6"/>
      <c r="H54" s="6"/>
    </row>
    <row r="55" spans="1:8" ht="15" customHeight="1" outlineLevel="1">
      <c r="E55" s="269"/>
      <c r="G55" s="6"/>
      <c r="H55" s="6"/>
    </row>
    <row r="56" spans="1:8" ht="15" customHeight="1" outlineLevel="1">
      <c r="E56" s="269"/>
      <c r="G56" s="6"/>
      <c r="H56" s="6"/>
    </row>
    <row r="57" spans="1:8" ht="15.75" thickBot="1">
      <c r="D57" s="5" t="s">
        <v>354</v>
      </c>
      <c r="E57" s="275" t="e">
        <f>E17+E31+E42+E53</f>
        <v>#N/A</v>
      </c>
      <c r="G57" s="6"/>
      <c r="H57" s="6"/>
    </row>
    <row r="58" spans="1:8" ht="15.75" thickTop="1">
      <c r="E58" s="269"/>
      <c r="G58" s="6"/>
      <c r="H58" s="6"/>
    </row>
    <row r="59" spans="1:8">
      <c r="E59" s="269"/>
      <c r="G59" s="6"/>
      <c r="H59" s="6"/>
    </row>
    <row r="60" spans="1:8">
      <c r="G60" s="6"/>
      <c r="H60" s="6"/>
    </row>
    <row r="61" spans="1:8">
      <c r="G61" s="6"/>
      <c r="H61" s="6"/>
    </row>
    <row r="62" spans="1:8">
      <c r="D62" s="6"/>
      <c r="G62" s="6"/>
      <c r="H62" s="6"/>
    </row>
    <row r="63" spans="1:8">
      <c r="G63" s="6"/>
      <c r="H63" s="6"/>
    </row>
    <row r="64" spans="1:8">
      <c r="G64" s="6"/>
      <c r="H64" s="6"/>
    </row>
    <row r="65" spans="7:8">
      <c r="G65" s="6"/>
      <c r="H65" s="6"/>
    </row>
    <row r="66" spans="7:8">
      <c r="G66" s="6"/>
      <c r="H66" s="6"/>
    </row>
    <row r="67" spans="7:8">
      <c r="G67" s="6"/>
      <c r="H67" s="6"/>
    </row>
    <row r="68" spans="7:8">
      <c r="G68" s="6"/>
      <c r="H68" s="6"/>
    </row>
  </sheetData>
  <sheetProtection password="C6D8" sheet="1" objects="1" scenarios="1"/>
  <mergeCells count="8">
    <mergeCell ref="A2:F2"/>
    <mergeCell ref="A25:A26"/>
    <mergeCell ref="A27:A29"/>
    <mergeCell ref="A11:A12"/>
    <mergeCell ref="A13:A14"/>
    <mergeCell ref="B5:C5"/>
    <mergeCell ref="B6:C6"/>
    <mergeCell ref="B4:D4"/>
  </mergeCells>
  <phoneticPr fontId="43" type="noConversion"/>
  <hyperlinks>
    <hyperlink ref="F12" r:id="rId1"/>
    <hyperlink ref="F14" r:id="rId2"/>
    <hyperlink ref="F49" r:id="rId3"/>
    <hyperlink ref="F11" r:id="rId4"/>
    <hyperlink ref="F13" r:id="rId5"/>
    <hyperlink ref="F37" r:id="rId6"/>
    <hyperlink ref="F15" r:id="rId7"/>
  </hyperlinks>
  <pageMargins left="0.7" right="0.7" top="0.75" bottom="0.75" header="0.3" footer="0.3"/>
  <pageSetup orientation="portrait" r:id="rId8"/>
  <legacyDrawing r:id="rId9"/>
</worksheet>
</file>

<file path=xl/worksheets/sheet5.xml><?xml version="1.0" encoding="utf-8"?>
<worksheet xmlns="http://schemas.openxmlformats.org/spreadsheetml/2006/main" xmlns:r="http://schemas.openxmlformats.org/officeDocument/2006/relationships">
  <sheetPr codeName="Sheet10">
    <outlinePr summaryBelow="0" summaryRight="0"/>
  </sheetPr>
  <dimension ref="A2:G69"/>
  <sheetViews>
    <sheetView topLeftCell="A46" workbookViewId="0">
      <selection activeCell="B55" sqref="B55:B57"/>
    </sheetView>
  </sheetViews>
  <sheetFormatPr defaultRowHeight="15" outlineLevelRow="1"/>
  <cols>
    <col min="1" max="1" width="15" style="2" customWidth="1"/>
    <col min="2" max="2" width="50.5703125" style="2" customWidth="1"/>
    <col min="3" max="3" width="38.42578125" style="2" customWidth="1"/>
    <col min="4" max="4" width="57.140625" style="2" customWidth="1"/>
    <col min="5" max="5" width="14.140625" style="2" customWidth="1"/>
    <col min="6" max="6" width="21.42578125" style="2" customWidth="1"/>
    <col min="7" max="10" width="11" style="2" customWidth="1"/>
    <col min="11" max="11" width="21.140625" style="2" bestFit="1" customWidth="1"/>
    <col min="12" max="12" width="11" style="2" customWidth="1"/>
    <col min="13" max="16384" width="9.140625" style="2"/>
  </cols>
  <sheetData>
    <row r="2" spans="1:6" ht="21">
      <c r="A2" s="289" t="s">
        <v>123</v>
      </c>
      <c r="B2" s="289"/>
      <c r="C2" s="289"/>
      <c r="D2" s="289"/>
      <c r="E2" s="289"/>
      <c r="F2" s="289"/>
    </row>
    <row r="3" spans="1:6" ht="21">
      <c r="A3" s="51"/>
      <c r="B3" s="8"/>
      <c r="C3" s="43"/>
      <c r="D3" s="8"/>
      <c r="E3" s="8"/>
      <c r="F3" s="8"/>
    </row>
    <row r="4" spans="1:6" ht="21.75" thickBot="1">
      <c r="C4" s="8"/>
      <c r="D4" s="8"/>
      <c r="E4" s="8"/>
      <c r="F4" s="8"/>
    </row>
    <row r="5" spans="1:6" ht="30">
      <c r="A5" s="3"/>
      <c r="B5" s="306" t="s">
        <v>676</v>
      </c>
      <c r="C5" s="307"/>
      <c r="D5" s="307"/>
      <c r="E5" s="55" t="s">
        <v>353</v>
      </c>
    </row>
    <row r="6" spans="1:6" ht="30">
      <c r="A6" s="54"/>
      <c r="B6" s="304" t="s">
        <v>675</v>
      </c>
      <c r="C6" s="305"/>
      <c r="D6" s="109" t="s">
        <v>515</v>
      </c>
      <c r="E6" s="60" t="s">
        <v>367</v>
      </c>
    </row>
    <row r="7" spans="1:6" ht="30">
      <c r="A7" s="54"/>
      <c r="B7" s="304" t="s">
        <v>674</v>
      </c>
      <c r="C7" s="305"/>
      <c r="D7" s="109" t="s">
        <v>514</v>
      </c>
      <c r="E7" s="60" t="s">
        <v>367</v>
      </c>
    </row>
    <row r="8" spans="1:6" ht="30">
      <c r="A8" s="54"/>
      <c r="B8" s="300" t="s">
        <v>102</v>
      </c>
      <c r="C8" s="301"/>
      <c r="D8" s="120">
        <v>48475</v>
      </c>
      <c r="E8" s="75" t="s">
        <v>547</v>
      </c>
    </row>
    <row r="9" spans="1:6" ht="30">
      <c r="A9" s="54"/>
      <c r="B9" s="300" t="s">
        <v>672</v>
      </c>
      <c r="C9" s="301"/>
      <c r="D9" s="120">
        <v>769</v>
      </c>
      <c r="E9" s="75" t="s">
        <v>547</v>
      </c>
    </row>
    <row r="10" spans="1:6" ht="30">
      <c r="A10" s="54"/>
      <c r="B10" s="300" t="s">
        <v>1753</v>
      </c>
      <c r="C10" s="301"/>
      <c r="D10" s="120">
        <v>38839</v>
      </c>
      <c r="E10" s="75" t="s">
        <v>545</v>
      </c>
    </row>
    <row r="11" spans="1:6" ht="30">
      <c r="A11" s="54"/>
      <c r="B11" s="300" t="s">
        <v>1754</v>
      </c>
      <c r="C11" s="301"/>
      <c r="D11" s="120">
        <v>0</v>
      </c>
      <c r="E11" s="60" t="s">
        <v>546</v>
      </c>
    </row>
    <row r="12" spans="1:6" ht="30">
      <c r="A12" s="54"/>
      <c r="B12" s="300" t="s">
        <v>673</v>
      </c>
      <c r="C12" s="301"/>
      <c r="D12" s="121">
        <v>344934</v>
      </c>
      <c r="E12" s="75" t="s">
        <v>547</v>
      </c>
    </row>
    <row r="13" spans="1:6" ht="30.75" thickBot="1">
      <c r="A13" s="54"/>
      <c r="B13" s="302" t="s">
        <v>216</v>
      </c>
      <c r="C13" s="303"/>
      <c r="D13" s="122">
        <v>8239</v>
      </c>
      <c r="E13" s="66" t="s">
        <v>547</v>
      </c>
    </row>
    <row r="14" spans="1:6" ht="21">
      <c r="A14" s="51"/>
      <c r="B14" s="8"/>
      <c r="C14" s="8"/>
      <c r="D14" s="8"/>
      <c r="E14" s="8"/>
      <c r="F14" s="8"/>
    </row>
    <row r="15" spans="1:6" ht="21">
      <c r="A15" s="52"/>
      <c r="B15" s="8"/>
      <c r="C15" s="6"/>
      <c r="D15" s="8"/>
      <c r="E15" s="8"/>
      <c r="F15" s="8"/>
    </row>
    <row r="16" spans="1:6">
      <c r="A16" s="1" t="s">
        <v>44</v>
      </c>
      <c r="B16" s="1" t="s">
        <v>671</v>
      </c>
    </row>
    <row r="17" spans="1:7" outlineLevel="1"/>
    <row r="18" spans="1:7" outlineLevel="1">
      <c r="A18" s="1" t="s">
        <v>438</v>
      </c>
      <c r="B18" s="1" t="s">
        <v>369</v>
      </c>
      <c r="C18" s="1" t="s">
        <v>362</v>
      </c>
      <c r="D18" s="1" t="s">
        <v>505</v>
      </c>
      <c r="E18" s="266" t="s">
        <v>352</v>
      </c>
      <c r="F18" s="4" t="s">
        <v>353</v>
      </c>
    </row>
    <row r="19" spans="1:7" ht="45" customHeight="1" outlineLevel="1">
      <c r="A19" s="286" t="s">
        <v>1729</v>
      </c>
      <c r="B19" s="30" t="s">
        <v>1755</v>
      </c>
      <c r="C19" s="244">
        <f>IF(D9&gt;0,D9/D8,"")</f>
        <v>1.5863847343991749E-2</v>
      </c>
      <c r="D19" s="105" t="s">
        <v>573</v>
      </c>
      <c r="E19" s="267">
        <f ca="1">IF(ISBLANK(D19),"",IF(D6="Municipally Owned Utility",VLOOKUP(D19,'Hidden Sheet'!A158:B174,2,FALSE),IF(D6="Investor Owned Utility",VLOOKUP(D19,'Hidden Sheet'!D158:E165,2,FALSE),IF(D19="",0))))</f>
        <v>2.5</v>
      </c>
      <c r="F19" s="48" t="s">
        <v>679</v>
      </c>
    </row>
    <row r="20" spans="1:7" outlineLevel="1">
      <c r="A20" s="287"/>
      <c r="B20" s="30" t="str">
        <f>IF(D6="Municipally Owned Utility","","Does the city actively promote or help implement electric utility efficiency programs?")</f>
        <v/>
      </c>
      <c r="C20" s="245"/>
      <c r="D20" s="104"/>
      <c r="E20" s="271" t="str">
        <f ca="1">IF(D20="Yes, the city promotes and/or partners with the utility on efficiency programs",1,IF(D20="No, the city does not promote and/or partner with the utility on efficiency programs",0,""))</f>
        <v/>
      </c>
      <c r="F20" s="40" t="s">
        <v>367</v>
      </c>
      <c r="G20" s="35"/>
    </row>
    <row r="21" spans="1:7" outlineLevel="1">
      <c r="A21" s="288"/>
      <c r="B21" s="30" t="str">
        <f>IF(D6="Municipally Owned Utility","","Is the city an active advocate for additional energy efficiency spending by the electric utility or of other policies encouraging efficiency?")</f>
        <v/>
      </c>
      <c r="C21" s="245"/>
      <c r="D21" s="104"/>
      <c r="E21" s="271" t="str">
        <f ca="1">IF(D21="Yes, the city advocates for additional energy efficiency spending/policies",1,IF(D21="No, the city does not advocate for additional energy efficiency spending/policies",0,""))</f>
        <v/>
      </c>
      <c r="F21" s="40" t="s">
        <v>367</v>
      </c>
      <c r="G21" s="35"/>
    </row>
    <row r="22" spans="1:7" ht="45" customHeight="1" outlineLevel="1">
      <c r="A22" s="286" t="s">
        <v>1730</v>
      </c>
      <c r="B22" s="30" t="s">
        <v>677</v>
      </c>
      <c r="C22" s="246">
        <f>IF(D10&gt;0,((D11*1000)/D10),"")</f>
        <v>0</v>
      </c>
      <c r="D22" s="105" t="s">
        <v>587</v>
      </c>
      <c r="E22" s="267">
        <f ca="1">IF(ISBLANK(D22),"",IF(D6="Municipally Owned Utility",VLOOKUP(D22,'Hidden Sheet'!A169:B175,2,FALSE),IF(D6="Investor Owned Utility",VLOOKUP(D22,'Hidden Sheet'!D169:E176,2,FALSE),IF(D22="",""))))</f>
        <v>0</v>
      </c>
      <c r="F22" s="48" t="s">
        <v>679</v>
      </c>
    </row>
    <row r="23" spans="1:7" ht="30" outlineLevel="1">
      <c r="A23" s="287"/>
      <c r="B23" s="30" t="str">
        <f>IF(D7="Municipally Owned Utility","","Does the city actively promote or help implement gas utility efficiency programs?")</f>
        <v>Does the city actively promote or help implement gas utility efficiency programs?</v>
      </c>
      <c r="C23" s="245" t="s">
        <v>1833</v>
      </c>
      <c r="D23" s="104" t="s">
        <v>1835</v>
      </c>
      <c r="E23" s="273" t="str">
        <f>IF(D23="Yes, the city promotes and/or partners with the utility on efficiency programs",0.75,IF(D23="No, the city does not promote and/or partner with the utility on efficiency programs",0,""))</f>
        <v/>
      </c>
      <c r="F23" s="40" t="s">
        <v>367</v>
      </c>
      <c r="G23" s="35"/>
    </row>
    <row r="24" spans="1:7" ht="30" outlineLevel="1">
      <c r="A24" s="288"/>
      <c r="B24" s="30" t="str">
        <f>IF(D7="Municipally Owned Utility","","Is the city an active advocate for additional energy efficiency spending policies from the gas utility?")</f>
        <v>Is the city an active advocate for additional energy efficiency spending policies from the gas utility?</v>
      </c>
      <c r="C24" s="245" t="s">
        <v>1833</v>
      </c>
      <c r="D24" s="104" t="s">
        <v>106</v>
      </c>
      <c r="E24" s="273">
        <f>IF(D24="Yes, the city advocates for additional energy efficiency spending/policies",0.75,IF(D24="No, the city does not advocate for additional energy efficiency spending/policies",0,""))</f>
        <v>0</v>
      </c>
      <c r="F24" s="40" t="s">
        <v>367</v>
      </c>
      <c r="G24" s="35"/>
    </row>
    <row r="25" spans="1:7" ht="30" outlineLevel="1">
      <c r="A25" s="50" t="s">
        <v>1731</v>
      </c>
      <c r="B25" s="30" t="s">
        <v>678</v>
      </c>
      <c r="C25" s="244">
        <f>IF(D12&gt;0,D13/D12,"")</f>
        <v>2.3885728864072548E-2</v>
      </c>
      <c r="D25" s="105" t="s">
        <v>590</v>
      </c>
      <c r="E25" s="267">
        <f>IF(D25="1.4% or greater",2,IF(D25="1 - 1.39%",1.5,IF(D25=".6 - .99%",1,IF(D25=".2 - .59%",0.5,IF(D25="&lt;.2%",0,"")))))</f>
        <v>2</v>
      </c>
      <c r="F25" s="48" t="s">
        <v>679</v>
      </c>
    </row>
    <row r="26" spans="1:7" ht="60" outlineLevel="1">
      <c r="A26" s="26" t="s">
        <v>549</v>
      </c>
      <c r="B26" s="30" t="s">
        <v>550</v>
      </c>
      <c r="C26" s="247" t="s">
        <v>1833</v>
      </c>
      <c r="D26" s="247" t="s">
        <v>1777</v>
      </c>
      <c r="E26" s="268" t="str">
        <f>IF(D26="Yes, the city has enacted policies, rates, or incentives for this purpose",0.5,IF(D26="No, the city has not enacted policies, rates, or incentives for this purpose",0,""))</f>
        <v/>
      </c>
      <c r="F26" s="39" t="s">
        <v>367</v>
      </c>
    </row>
    <row r="27" spans="1:7" outlineLevel="1">
      <c r="E27" s="269"/>
    </row>
    <row r="28" spans="1:7" ht="15.75" outlineLevel="1" thickBot="1">
      <c r="D28" s="5" t="s">
        <v>1714</v>
      </c>
      <c r="E28" s="274">
        <f>SUM(E19:E27)</f>
        <v>4.5</v>
      </c>
    </row>
    <row r="29" spans="1:7" ht="15.75" outlineLevel="1" thickTop="1">
      <c r="E29" s="269"/>
    </row>
    <row r="30" spans="1:7">
      <c r="A30" s="1" t="s">
        <v>45</v>
      </c>
      <c r="B30" s="1" t="s">
        <v>126</v>
      </c>
      <c r="E30" s="269"/>
    </row>
    <row r="31" spans="1:7" outlineLevel="1">
      <c r="E31" s="269"/>
    </row>
    <row r="32" spans="1:7" outlineLevel="1">
      <c r="A32" s="1" t="s">
        <v>438</v>
      </c>
      <c r="B32" s="1" t="s">
        <v>369</v>
      </c>
      <c r="C32" s="1" t="s">
        <v>362</v>
      </c>
      <c r="D32" s="1" t="s">
        <v>505</v>
      </c>
      <c r="E32" s="266" t="s">
        <v>352</v>
      </c>
      <c r="F32" s="4" t="s">
        <v>353</v>
      </c>
    </row>
    <row r="33" spans="1:7" ht="45" customHeight="1" outlineLevel="1">
      <c r="A33" s="286" t="s">
        <v>1238</v>
      </c>
      <c r="B33" s="56" t="s">
        <v>112</v>
      </c>
      <c r="C33" s="106" t="s">
        <v>1775</v>
      </c>
      <c r="D33" s="106" t="s">
        <v>108</v>
      </c>
      <c r="E33" s="273">
        <f>IF(D33="Yes, the city advocates for improvements or has established sharing agreements",0.5,IF(D33="No, the city does not advocate for improvements nor has established sharing agreements",0,""))</f>
        <v>0</v>
      </c>
      <c r="F33" s="40" t="s">
        <v>367</v>
      </c>
    </row>
    <row r="34" spans="1:7" ht="60" outlineLevel="1">
      <c r="A34" s="287"/>
      <c r="B34" s="30" t="s">
        <v>567</v>
      </c>
      <c r="C34" s="104" t="s">
        <v>1833</v>
      </c>
      <c r="D34" s="100" t="s">
        <v>1836</v>
      </c>
      <c r="E34" s="273" t="str">
        <f>IF(D34="Yes, the city has implemented Green Button or a similar online service",0.5,IF(D34="The city has not yet implemented Green Button, but has committed to doing so",0.25,IF(D34="No, the city has not implemented Green Button and has no plans to do so",0,"")))</f>
        <v/>
      </c>
      <c r="F34" s="44" t="s">
        <v>544</v>
      </c>
    </row>
    <row r="35" spans="1:7" ht="48" customHeight="1" outlineLevel="1">
      <c r="A35" s="287"/>
      <c r="B35" s="30" t="s">
        <v>527</v>
      </c>
      <c r="C35" s="104" t="s">
        <v>1775</v>
      </c>
      <c r="D35" s="100" t="s">
        <v>229</v>
      </c>
      <c r="E35" s="273">
        <f>IF(D35="Yes, ABS is available through the ENERGY STAR Portfolio Manager",0.5,IF(D35="Aggregated energy data is available, but only upon request",0.25,IF(D35="No, aggregated energy data is not available",0,"")))</f>
        <v>0</v>
      </c>
      <c r="F35" s="44" t="s">
        <v>437</v>
      </c>
    </row>
    <row r="36" spans="1:7" ht="60" outlineLevel="1">
      <c r="A36" s="288"/>
      <c r="B36" s="30" t="s">
        <v>530</v>
      </c>
      <c r="C36" s="104" t="s">
        <v>1775</v>
      </c>
      <c r="D36" s="100" t="s">
        <v>231</v>
      </c>
      <c r="E36" s="273">
        <f>IF(D36="Yes, aggregate energy usage data for the community is available",0.5,IF(D36="No, aggregate energy usage data for the community is not available",0,""))</f>
        <v>0</v>
      </c>
      <c r="F36" s="41" t="s">
        <v>544</v>
      </c>
    </row>
    <row r="37" spans="1:7" outlineLevel="1">
      <c r="E37" s="269"/>
    </row>
    <row r="38" spans="1:7" ht="15.75" outlineLevel="1" thickBot="1">
      <c r="D38" s="5" t="s">
        <v>1715</v>
      </c>
      <c r="E38" s="270">
        <f>SUM(E33:E36)</f>
        <v>0</v>
      </c>
    </row>
    <row r="39" spans="1:7" ht="15.75" outlineLevel="1" thickTop="1">
      <c r="D39" s="3"/>
      <c r="E39" s="269"/>
    </row>
    <row r="40" spans="1:7" outlineLevel="1">
      <c r="D40" s="3"/>
      <c r="E40" s="269"/>
    </row>
    <row r="41" spans="1:7">
      <c r="A41" s="1" t="s">
        <v>46</v>
      </c>
      <c r="B41" s="1" t="s">
        <v>132</v>
      </c>
      <c r="E41" s="269"/>
    </row>
    <row r="42" spans="1:7" outlineLevel="1">
      <c r="E42" s="269"/>
    </row>
    <row r="43" spans="1:7" outlineLevel="1">
      <c r="A43" s="1" t="s">
        <v>438</v>
      </c>
      <c r="B43" s="1" t="s">
        <v>369</v>
      </c>
      <c r="C43" s="1" t="s">
        <v>362</v>
      </c>
      <c r="D43" s="1" t="s">
        <v>505</v>
      </c>
      <c r="E43" s="266" t="s">
        <v>352</v>
      </c>
      <c r="F43" s="4" t="s">
        <v>353</v>
      </c>
    </row>
    <row r="44" spans="1:7" outlineLevel="1">
      <c r="A44" s="286" t="s">
        <v>1240</v>
      </c>
      <c r="B44" s="30" t="str">
        <f>IF(D6="Municipally Owned Utility","","Is energy efficiency required or funded through Franchise Agreements, Municipal Aggregation Contracts, or other agreements with utilities?")</f>
        <v/>
      </c>
      <c r="C44" s="104"/>
      <c r="D44" s="100"/>
      <c r="E44" s="268" t="str">
        <f>IF(D44="Yes, energy efficiency is incorporated into one of the aforementioned agreements",1,IF(D44="While not required, the utility has a voluntary agreement to fund efficiency programs",0.5,IF(D44="No, energy efficiency is not  incorporated into one of the aforementioned agreements",0,"")))</f>
        <v/>
      </c>
      <c r="F44" s="39" t="s">
        <v>367</v>
      </c>
      <c r="G44" s="46"/>
    </row>
    <row r="45" spans="1:7" outlineLevel="1">
      <c r="A45" s="287"/>
      <c r="B45" s="30" t="str">
        <f>IF(D6="Municipally Owned Utility","","Does the city actively advocate for additional energy efficiency savings targets or requirements for utilities on the state level?")</f>
        <v/>
      </c>
      <c r="C45" s="104"/>
      <c r="D45" s="100"/>
      <c r="E45" s="268" t="str">
        <f>IF(D45="Yes, the city advocates for additional energy efficiency requirements",1,IF(D45="No, the city does not advocate for additional energy efficiency requirements",0,""))</f>
        <v/>
      </c>
      <c r="F45" s="39" t="s">
        <v>367</v>
      </c>
      <c r="G45" s="46"/>
    </row>
    <row r="46" spans="1:7" ht="30" customHeight="1" outlineLevel="1">
      <c r="A46" s="287"/>
      <c r="B46" s="57" t="str">
        <f>IF(D6="Investor Owned Utility","","Has the municipal electric utility adopted a percent annual savings target from energy efficiency?  If so, what is the target?")</f>
        <v>Has the municipal electric utility adopted a percent annual savings target from energy efficiency?  If so, what is the target?</v>
      </c>
      <c r="C46" s="104" t="s">
        <v>884</v>
      </c>
      <c r="D46" s="100" t="s">
        <v>1837</v>
      </c>
      <c r="E46" s="268" t="str">
        <f>IF(D46="1.5% or greater",2,IF(D46="1% - 1.49%",1.5,IF(D46="0.5% - 0.99%",1,IF(D46="0.1% - 0.49%",0.5,IF(D46="&lt;.01%",0,"")))))</f>
        <v/>
      </c>
      <c r="F46" s="39" t="s">
        <v>367</v>
      </c>
    </row>
    <row r="47" spans="1:7" ht="32.25" customHeight="1" outlineLevel="1">
      <c r="A47" s="287"/>
      <c r="B47" s="57" t="str">
        <f>IF(D6="Investor Owned Utility","","If a savings target is in place, does it have a cost cap, limiting the amount of investment in efficiency programs?")</f>
        <v>If a savings target is in place, does it have a cost cap, limiting the amount of investment in efficiency programs?</v>
      </c>
      <c r="C47" s="104" t="s">
        <v>1833</v>
      </c>
      <c r="D47" s="100"/>
      <c r="E47" s="267" t="str">
        <f>IF(D47="Yes, a cost cap is applied to the mandate",-0.5,IF(D47="N/a, there is no savings target",0,IF(D47="No, a cost cap is not applied to the mandate",0,"")))</f>
        <v/>
      </c>
      <c r="F47" s="39" t="s">
        <v>367</v>
      </c>
      <c r="G47" s="2" t="b">
        <f>IF(SUM(E46:E47)=2,TRUE,FALSE)</f>
        <v>0</v>
      </c>
    </row>
    <row r="48" spans="1:7" ht="30" outlineLevel="1">
      <c r="A48" s="288"/>
      <c r="B48" s="57" t="str">
        <f>IF(D6="Investor Owned Utility","",IF(AND(D6="Municipally Owned Utility",SUM(E46:E47)&lt;2),"If a savings target is in place, is natural gas savings included in the target?",""))</f>
        <v>If a savings target is in place, is natural gas savings included in the target?</v>
      </c>
      <c r="C48" s="104" t="s">
        <v>1830</v>
      </c>
      <c r="D48" s="100"/>
      <c r="E48" s="267" t="str">
        <f>IF(D48="Yes, natural gas is included in the mandate",0.5,IF(D48="N/a, there is no savings target",0,IF(D48="No, natural gas is not included in the mandate",0,"")))</f>
        <v/>
      </c>
      <c r="F48" s="39" t="s">
        <v>367</v>
      </c>
    </row>
    <row r="49" spans="1:7" ht="45" outlineLevel="1">
      <c r="A49" s="290" t="s">
        <v>531</v>
      </c>
      <c r="B49" s="30" t="s">
        <v>1756</v>
      </c>
      <c r="C49" s="104" t="s">
        <v>1838</v>
      </c>
      <c r="D49" s="100" t="s">
        <v>1839</v>
      </c>
      <c r="E49" s="271" t="str">
        <f>IF(D49="Yes, water efficiency programs are funded",1,IF(D49="No, water efficiency programs are not funded",0,""))</f>
        <v/>
      </c>
      <c r="F49" s="39" t="s">
        <v>367</v>
      </c>
    </row>
    <row r="50" spans="1:7" ht="30" outlineLevel="1">
      <c r="A50" s="290"/>
      <c r="B50" s="30" t="s">
        <v>115</v>
      </c>
      <c r="C50" s="104" t="s">
        <v>1830</v>
      </c>
      <c r="D50" s="100" t="s">
        <v>537</v>
      </c>
      <c r="E50" s="271">
        <f>IF(D50="Yes, water savings targets have been set",1,IF(D50="No, water savings targets have not been set",0,""))</f>
        <v>0</v>
      </c>
      <c r="F50" s="39" t="s">
        <v>367</v>
      </c>
    </row>
    <row r="51" spans="1:7" ht="45" outlineLevel="1">
      <c r="A51" s="26" t="s">
        <v>522</v>
      </c>
      <c r="B51" s="30" t="s">
        <v>566</v>
      </c>
      <c r="C51" s="104" t="s">
        <v>884</v>
      </c>
      <c r="D51" s="104" t="s">
        <v>1840</v>
      </c>
      <c r="E51" s="268" t="str">
        <f>IF(D51="Yes, public funding is in place for green stormwater infrastructure",0.5,IF(D51="No, public funding is not in place for green stormwater infrastructure",0,""))</f>
        <v/>
      </c>
      <c r="F51" s="39" t="s">
        <v>367</v>
      </c>
      <c r="G51" s="35"/>
    </row>
    <row r="52" spans="1:7" ht="45" customHeight="1" outlineLevel="1">
      <c r="A52" s="290" t="s">
        <v>538</v>
      </c>
      <c r="B52" s="30" t="s">
        <v>1757</v>
      </c>
      <c r="C52" s="104" t="s">
        <v>1775</v>
      </c>
      <c r="D52" s="100" t="s">
        <v>177</v>
      </c>
      <c r="E52" s="268">
        <f>IF(D52="Yes, a specific energy efficiency target/strategy is in place ",1,IF(D52="Energy efficiency initiatives are being pursued, but a savings target is not in place",0.5,IF(D52="No, a specific energy efficiency target/strategy is not in place ",0,"")))</f>
        <v>0</v>
      </c>
      <c r="F52" s="39" t="s">
        <v>367</v>
      </c>
    </row>
    <row r="53" spans="1:7" ht="30" outlineLevel="1">
      <c r="A53" s="290"/>
      <c r="B53" s="30" t="s">
        <v>539</v>
      </c>
      <c r="C53" s="104" t="s">
        <v>1830</v>
      </c>
      <c r="D53" s="101" t="s">
        <v>543</v>
      </c>
      <c r="E53" s="268">
        <f>IF(D53="Yes, the local wastewater utility self-generates energy",1,IF(D53="Wastewater treatment plants capture energy resources, but do not use on site",0.5,IF(D53="No, the local wastewater utility does not self-generate energy",0,"")))</f>
        <v>0</v>
      </c>
      <c r="F53" s="39" t="s">
        <v>367</v>
      </c>
    </row>
    <row r="54" spans="1:7" outlineLevel="1">
      <c r="E54" s="269"/>
    </row>
    <row r="55" spans="1:7" ht="15.75" outlineLevel="1" thickBot="1">
      <c r="D55" s="5" t="s">
        <v>1716</v>
      </c>
      <c r="E55" s="274">
        <f>SUM(E44:E54)</f>
        <v>0</v>
      </c>
    </row>
    <row r="56" spans="1:7" ht="15.75" outlineLevel="1" thickTop="1">
      <c r="E56" s="269"/>
    </row>
    <row r="57" spans="1:7" outlineLevel="1">
      <c r="E57" s="269"/>
    </row>
    <row r="58" spans="1:7" ht="15.75" thickBot="1">
      <c r="D58" s="5" t="s">
        <v>354</v>
      </c>
      <c r="E58" s="275">
        <f>E38+E55+E28</f>
        <v>4.5</v>
      </c>
    </row>
    <row r="59" spans="1:7" ht="15.75" thickTop="1">
      <c r="E59" s="269"/>
    </row>
    <row r="60" spans="1:7">
      <c r="E60" s="269"/>
    </row>
    <row r="61" spans="1:7">
      <c r="E61" s="269"/>
    </row>
    <row r="62" spans="1:7">
      <c r="A62" s="3"/>
      <c r="E62" s="269"/>
    </row>
    <row r="63" spans="1:7">
      <c r="A63" s="10"/>
    </row>
    <row r="64" spans="1:7">
      <c r="A64" s="54"/>
    </row>
    <row r="65" spans="1:1">
      <c r="A65" s="54"/>
    </row>
    <row r="66" spans="1:1">
      <c r="A66" s="54"/>
    </row>
    <row r="67" spans="1:1">
      <c r="A67" s="54"/>
    </row>
    <row r="68" spans="1:1">
      <c r="A68" s="54"/>
    </row>
    <row r="69" spans="1:1">
      <c r="A69" s="54"/>
    </row>
  </sheetData>
  <sheetProtection password="C6D8" sheet="1" objects="1" scenarios="1"/>
  <mergeCells count="16">
    <mergeCell ref="B13:C13"/>
    <mergeCell ref="A2:F2"/>
    <mergeCell ref="B6:C6"/>
    <mergeCell ref="B7:C7"/>
    <mergeCell ref="B8:C8"/>
    <mergeCell ref="B5:D5"/>
    <mergeCell ref="B9:C9"/>
    <mergeCell ref="B10:C10"/>
    <mergeCell ref="A49:A50"/>
    <mergeCell ref="B12:C12"/>
    <mergeCell ref="B11:C11"/>
    <mergeCell ref="A52:A53"/>
    <mergeCell ref="A19:A21"/>
    <mergeCell ref="A22:A24"/>
    <mergeCell ref="A33:A36"/>
    <mergeCell ref="A44:A48"/>
  </mergeCells>
  <phoneticPr fontId="43" type="noConversion"/>
  <conditionalFormatting sqref="D20">
    <cfRule type="expression" dxfId="1" priority="2">
      <formula>"if($C$6=""Municipally Owned Utility"")"</formula>
    </cfRule>
  </conditionalFormatting>
  <hyperlinks>
    <hyperlink ref="F34" r:id="rId1"/>
    <hyperlink ref="E8" r:id="rId2"/>
    <hyperlink ref="E9" r:id="rId3"/>
    <hyperlink ref="E10" r:id="rId4"/>
    <hyperlink ref="E12" r:id="rId5"/>
    <hyperlink ref="E13" r:id="rId6"/>
    <hyperlink ref="F35" r:id="rId7"/>
  </hyperlinks>
  <pageMargins left="0.7" right="0.7" top="0.75" bottom="0.75" header="0.3" footer="0.3"/>
  <pageSetup orientation="portrait" r:id="rId8"/>
  <legacyDrawing r:id="rId9"/>
</worksheet>
</file>

<file path=xl/worksheets/sheet6.xml><?xml version="1.0" encoding="utf-8"?>
<worksheet xmlns="http://schemas.openxmlformats.org/spreadsheetml/2006/main" xmlns:r="http://schemas.openxmlformats.org/officeDocument/2006/relationships">
  <sheetPr codeName="Sheet5">
    <outlinePr summaryBelow="0" summaryRight="0"/>
  </sheetPr>
  <dimension ref="A2:G69"/>
  <sheetViews>
    <sheetView topLeftCell="A52" workbookViewId="0">
      <selection activeCell="D52" sqref="D52"/>
    </sheetView>
  </sheetViews>
  <sheetFormatPr defaultRowHeight="15" outlineLevelRow="1"/>
  <cols>
    <col min="1" max="1" width="15" style="2" customWidth="1"/>
    <col min="2" max="2" width="50.5703125" style="2" customWidth="1"/>
    <col min="3" max="3" width="38.42578125" style="2" customWidth="1"/>
    <col min="4" max="4" width="57.140625" style="2" customWidth="1"/>
    <col min="5" max="5" width="18.140625" style="2" customWidth="1"/>
    <col min="6" max="6" width="21.42578125" style="2" customWidth="1"/>
    <col min="7" max="10" width="11" style="2" customWidth="1"/>
    <col min="11" max="11" width="21.140625" style="2" bestFit="1" customWidth="1"/>
    <col min="12" max="12" width="11" style="2" customWidth="1"/>
    <col min="13" max="16384" width="9.140625" style="2"/>
  </cols>
  <sheetData>
    <row r="2" spans="1:6" ht="21">
      <c r="A2" s="289" t="s">
        <v>121</v>
      </c>
      <c r="B2" s="289"/>
      <c r="C2" s="289"/>
      <c r="D2" s="289"/>
      <c r="E2" s="289"/>
      <c r="F2" s="289"/>
    </row>
    <row r="3" spans="1:6" ht="21">
      <c r="A3" s="51"/>
      <c r="B3" s="8"/>
      <c r="C3" s="43"/>
      <c r="D3" s="8"/>
      <c r="E3" s="8"/>
      <c r="F3" s="8"/>
    </row>
    <row r="4" spans="1:6" ht="21.75" thickBot="1">
      <c r="C4" s="8"/>
      <c r="D4" s="8"/>
      <c r="E4" s="8"/>
      <c r="F4" s="8"/>
    </row>
    <row r="5" spans="1:6" ht="30.75" thickBot="1">
      <c r="A5" s="3"/>
      <c r="B5" s="297" t="s">
        <v>676</v>
      </c>
      <c r="C5" s="298"/>
      <c r="D5" s="299"/>
      <c r="E5" s="55" t="s">
        <v>353</v>
      </c>
    </row>
    <row r="6" spans="1:6">
      <c r="A6" s="54"/>
      <c r="B6" s="308" t="s">
        <v>695</v>
      </c>
      <c r="C6" s="309"/>
      <c r="D6" s="102">
        <v>8054</v>
      </c>
      <c r="E6" s="60" t="s">
        <v>367</v>
      </c>
    </row>
    <row r="7" spans="1:6" ht="45">
      <c r="A7" s="54"/>
      <c r="B7" s="304" t="s">
        <v>696</v>
      </c>
      <c r="C7" s="305"/>
      <c r="D7" s="102">
        <v>13071315</v>
      </c>
      <c r="E7" s="75" t="s">
        <v>215</v>
      </c>
    </row>
    <row r="8" spans="1:6" ht="60">
      <c r="A8" s="54" t="s">
        <v>211</v>
      </c>
      <c r="B8" s="310" t="s">
        <v>212</v>
      </c>
      <c r="C8" s="311"/>
      <c r="D8" s="102">
        <v>93656</v>
      </c>
      <c r="E8" s="75" t="s">
        <v>214</v>
      </c>
    </row>
    <row r="9" spans="1:6" ht="45">
      <c r="A9" s="54"/>
      <c r="B9" s="300" t="s">
        <v>173</v>
      </c>
      <c r="C9" s="301"/>
      <c r="D9" s="123">
        <v>0</v>
      </c>
      <c r="E9" s="75" t="s">
        <v>22</v>
      </c>
    </row>
    <row r="10" spans="1:6" ht="60.75" thickBot="1">
      <c r="A10" s="54"/>
      <c r="B10" s="302" t="s">
        <v>1763</v>
      </c>
      <c r="C10" s="303"/>
      <c r="D10" s="124">
        <v>10309</v>
      </c>
      <c r="E10" s="77" t="s">
        <v>172</v>
      </c>
      <c r="F10" s="76"/>
    </row>
    <row r="11" spans="1:6" ht="21">
      <c r="A11" s="51"/>
      <c r="B11" s="8"/>
      <c r="C11" s="8"/>
      <c r="D11" s="8"/>
      <c r="E11" s="8"/>
      <c r="F11" s="8"/>
    </row>
    <row r="12" spans="1:6" ht="21">
      <c r="A12" s="52"/>
      <c r="B12" s="8"/>
      <c r="C12" s="6"/>
      <c r="D12" s="8"/>
      <c r="E12" s="8"/>
      <c r="F12" s="8"/>
    </row>
    <row r="13" spans="1:6">
      <c r="A13" s="1" t="s">
        <v>363</v>
      </c>
      <c r="B13" s="1" t="s">
        <v>681</v>
      </c>
    </row>
    <row r="14" spans="1:6" outlineLevel="1"/>
    <row r="15" spans="1:6" outlineLevel="1">
      <c r="A15" s="1" t="s">
        <v>438</v>
      </c>
      <c r="B15" s="1" t="s">
        <v>369</v>
      </c>
      <c r="C15" s="1" t="s">
        <v>362</v>
      </c>
      <c r="D15" s="1" t="s">
        <v>505</v>
      </c>
      <c r="E15" s="266" t="s">
        <v>352</v>
      </c>
      <c r="F15" s="4" t="s">
        <v>353</v>
      </c>
    </row>
    <row r="16" spans="1:6" ht="45" customHeight="1" outlineLevel="1">
      <c r="A16" s="26" t="s">
        <v>680</v>
      </c>
      <c r="B16" s="30" t="s">
        <v>135</v>
      </c>
      <c r="C16" s="103" t="s">
        <v>1778</v>
      </c>
      <c r="D16" s="105" t="s">
        <v>686</v>
      </c>
      <c r="E16" s="267">
        <f>IF(D16="NCSC Score greater than 75",2,IF(D16="NCSC Score greater than 25 and less than 50",1,IF(D16="NCSC Score greater than 50 and less than 75",1.5,IF(D16="NCSC Score less than 25",0.5,IF(D16="No complete streets policy in place",0,"")))))</f>
        <v>0.5</v>
      </c>
      <c r="F16" s="44" t="s">
        <v>687</v>
      </c>
    </row>
    <row r="17" spans="1:7" ht="45" outlineLevel="1">
      <c r="A17" s="286" t="s">
        <v>689</v>
      </c>
      <c r="B17" s="30" t="s">
        <v>1759</v>
      </c>
      <c r="C17" s="100" t="s">
        <v>1779</v>
      </c>
      <c r="D17" s="104" t="s">
        <v>136</v>
      </c>
      <c r="E17" s="268">
        <f>IF(D17="Yes, the city has an operational car sharing program",1,IF(D17="The city does not have one yet, but a car sharing program is under development",0.5,IF(D17="No, the city does not have a car sharing program",0,"")))</f>
        <v>1</v>
      </c>
      <c r="F17" s="44" t="s">
        <v>692</v>
      </c>
      <c r="G17" s="35"/>
    </row>
    <row r="18" spans="1:7" ht="45" outlineLevel="1">
      <c r="A18" s="288"/>
      <c r="B18" s="30" t="s">
        <v>1758</v>
      </c>
      <c r="C18" s="100" t="s">
        <v>1780</v>
      </c>
      <c r="D18" s="104" t="s">
        <v>139</v>
      </c>
      <c r="E18" s="268">
        <f>IF(D18="Yes, the city has an operational bike sharing program",1,IF(D18="The city does not have one yet, but a bike sharing program is under development",0.5,IF(D18="No, the city does not have a bike sharing program",0,"")))</f>
        <v>1</v>
      </c>
      <c r="F18" s="40" t="s">
        <v>367</v>
      </c>
      <c r="G18" s="35"/>
    </row>
    <row r="19" spans="1:7" ht="45" customHeight="1" outlineLevel="1">
      <c r="A19" s="26" t="s">
        <v>698</v>
      </c>
      <c r="B19" s="30" t="s">
        <v>697</v>
      </c>
      <c r="C19" s="125">
        <f ca="1">IF(OR(ISBLANK(D8),ISBLANK(D6),ISBLANK(Intro!C20)),"",(D7/D8)/(D6*1000/Intro!C20))</f>
        <v>0.73504173603158396</v>
      </c>
      <c r="D19" s="105" t="s">
        <v>704</v>
      </c>
      <c r="E19" s="267">
        <f>IF(D19="Transit to Funding Ratio is greater than 3:1",4,IF(D19="Transit to Funding Ratio is 2 to 2.99:1",3,IF(D19="Transit to Funding Ratio is 1 to 1.99:1",2,IF(D19="Transit to Funding Ratio is less than 0.5 but greater than 0",0.5,IF(D19="Transit to Funding Ratio is 0.5 to 0.99:1",1,"")))))</f>
        <v>1</v>
      </c>
      <c r="F19" s="61" t="s">
        <v>142</v>
      </c>
    </row>
    <row r="20" spans="1:7" ht="60" outlineLevel="1">
      <c r="A20" s="26" t="s">
        <v>706</v>
      </c>
      <c r="B20" s="30" t="s">
        <v>1760</v>
      </c>
      <c r="C20" s="104" t="s">
        <v>1060</v>
      </c>
      <c r="D20" s="104" t="s">
        <v>884</v>
      </c>
      <c r="E20" s="268" t="str">
        <f>IF(D20="Yes, at least one city staff member actively engages with the Clean Cities Coalition",1,IF(D20="No, city staff does not actively engage with the Clean Cities Coalition",0,IF(D20="A Clean Cities Coalition does not exist in our region or state",0,"")))</f>
        <v/>
      </c>
      <c r="F20" s="41" t="s">
        <v>100</v>
      </c>
      <c r="G20" s="35"/>
    </row>
    <row r="21" spans="1:7" outlineLevel="1">
      <c r="E21" s="269"/>
    </row>
    <row r="22" spans="1:7" ht="15.75" outlineLevel="1" thickBot="1">
      <c r="D22" s="5" t="s">
        <v>372</v>
      </c>
      <c r="E22" s="270">
        <f>SUM(E16:E21)</f>
        <v>3.5</v>
      </c>
    </row>
    <row r="23" spans="1:7" ht="15.75" outlineLevel="1" thickTop="1">
      <c r="E23" s="269"/>
    </row>
    <row r="24" spans="1:7">
      <c r="A24" s="1" t="s">
        <v>364</v>
      </c>
      <c r="B24" s="1" t="s">
        <v>370</v>
      </c>
      <c r="E24" s="269"/>
    </row>
    <row r="25" spans="1:7" outlineLevel="1">
      <c r="E25" s="269"/>
    </row>
    <row r="26" spans="1:7" outlineLevel="1">
      <c r="A26" s="1" t="s">
        <v>438</v>
      </c>
      <c r="B26" s="1" t="s">
        <v>369</v>
      </c>
      <c r="C26" s="1" t="s">
        <v>362</v>
      </c>
      <c r="D26" s="1" t="s">
        <v>505</v>
      </c>
      <c r="E26" s="266" t="s">
        <v>352</v>
      </c>
      <c r="F26" s="4" t="s">
        <v>353</v>
      </c>
    </row>
    <row r="27" spans="1:7" ht="60" outlineLevel="1">
      <c r="A27" s="26" t="s">
        <v>711</v>
      </c>
      <c r="B27" s="56" t="s">
        <v>146</v>
      </c>
      <c r="C27" s="104" t="s">
        <v>884</v>
      </c>
      <c r="D27" s="104" t="s">
        <v>1841</v>
      </c>
      <c r="E27" s="268" t="str">
        <f>IF(D27="Yes, location efficiency policies are in place",0.5,IF(D27="No, location efficiency policies are not in place",0,""))</f>
        <v/>
      </c>
      <c r="F27" s="40" t="s">
        <v>367</v>
      </c>
    </row>
    <row r="28" spans="1:7" ht="45" outlineLevel="1">
      <c r="A28" s="26" t="s">
        <v>716</v>
      </c>
      <c r="B28" s="30" t="s">
        <v>147</v>
      </c>
      <c r="C28" s="104" t="s">
        <v>1838</v>
      </c>
      <c r="D28" s="100" t="s">
        <v>1842</v>
      </c>
      <c r="E28" s="268" t="str">
        <f>IF(D28="There are no minimum parking requirements for new developments",2,IF(D28="Parking minimums have been removed in more than one neighborhood",1.5,IF(D28="The parking requirement is an average of 0.5 parking spaces or fewer per residential unit",1,IF(D28="The parking requirement is an average of 1 parking space or more per residential unit",0,IF(D28="The parking requirement is an average of 1 parking space or fewer per residential unit",0.5,"")))))</f>
        <v/>
      </c>
      <c r="F28" s="39" t="s">
        <v>367</v>
      </c>
    </row>
    <row r="29" spans="1:7" outlineLevel="1">
      <c r="E29" s="269"/>
    </row>
    <row r="30" spans="1:7" ht="15.75" outlineLevel="1" thickBot="1">
      <c r="D30" s="5" t="s">
        <v>373</v>
      </c>
      <c r="E30" s="270">
        <f>SUM(E27:E28)</f>
        <v>0</v>
      </c>
    </row>
    <row r="31" spans="1:7" ht="15.75" outlineLevel="1" thickTop="1">
      <c r="D31" s="3"/>
      <c r="E31" s="269"/>
    </row>
    <row r="32" spans="1:7" outlineLevel="1">
      <c r="D32" s="3"/>
      <c r="E32" s="269"/>
    </row>
    <row r="33" spans="1:7">
      <c r="A33" s="1" t="s">
        <v>365</v>
      </c>
      <c r="B33" s="1" t="s">
        <v>371</v>
      </c>
      <c r="E33" s="269"/>
    </row>
    <row r="34" spans="1:7" outlineLevel="1">
      <c r="E34" s="269"/>
    </row>
    <row r="35" spans="1:7" outlineLevel="1">
      <c r="A35" s="1" t="s">
        <v>438</v>
      </c>
      <c r="B35" s="1" t="s">
        <v>369</v>
      </c>
      <c r="C35" s="1" t="s">
        <v>362</v>
      </c>
      <c r="D35" s="1" t="s">
        <v>505</v>
      </c>
      <c r="E35" s="266" t="s">
        <v>352</v>
      </c>
      <c r="F35" s="4" t="s">
        <v>353</v>
      </c>
    </row>
    <row r="36" spans="1:7" ht="105" outlineLevel="1">
      <c r="A36" s="26" t="s">
        <v>1732</v>
      </c>
      <c r="B36" s="30" t="s">
        <v>148</v>
      </c>
      <c r="C36" s="104" t="s">
        <v>1843</v>
      </c>
      <c r="D36" s="100" t="s">
        <v>6</v>
      </c>
      <c r="E36" s="268">
        <f>IF(D36="A zoning code to encourage location-efficient development applies to the whole city",2,IF(D36="A zoning code to encourage location-efficient development applies to certain areas/neighborhoods",1,IF(D36="A zoning code to encourage location-efficient development does not exist",0,"")))</f>
        <v>0</v>
      </c>
      <c r="F36" s="40" t="s">
        <v>367</v>
      </c>
      <c r="G36" s="46"/>
    </row>
    <row r="37" spans="1:7" ht="60" customHeight="1" outlineLevel="1">
      <c r="A37" s="286" t="s">
        <v>1970</v>
      </c>
      <c r="B37" s="30" t="s">
        <v>149</v>
      </c>
      <c r="C37" s="104" t="s">
        <v>1782</v>
      </c>
      <c r="D37" s="100" t="s">
        <v>11</v>
      </c>
      <c r="E37" s="271">
        <f>IF(D37="Yes, a specific target has been adopted through legislation",2,IF(D37="Yes, a specific target is part of a city sustainability plan",1,IF(D37="No, a specific target has not been identified",0,"")))</f>
        <v>1</v>
      </c>
      <c r="F37" s="40" t="s">
        <v>367</v>
      </c>
    </row>
    <row r="38" spans="1:7" ht="45" outlineLevel="1">
      <c r="A38" s="288"/>
      <c r="B38" s="30" t="s">
        <v>150</v>
      </c>
      <c r="C38" s="104" t="s">
        <v>1844</v>
      </c>
      <c r="D38" s="100" t="s">
        <v>1845</v>
      </c>
      <c r="E38" s="271" t="str">
        <f>IF(D38="Yes, a plan is actively being implemented to achieve the target",2,IF(D38="No, the city is not actively implementing a plan to achieve the target",0,IF(D38="The city does not have a VMT or modal share target",0,"")))</f>
        <v/>
      </c>
      <c r="F38" s="40" t="s">
        <v>367</v>
      </c>
    </row>
    <row r="39" spans="1:7" ht="30" outlineLevel="1">
      <c r="A39" s="26" t="s">
        <v>13</v>
      </c>
      <c r="B39" s="30" t="s">
        <v>12</v>
      </c>
      <c r="C39" s="104" t="s">
        <v>1846</v>
      </c>
      <c r="D39" s="107" t="s">
        <v>18</v>
      </c>
      <c r="E39" s="272">
        <f>IF(D39="&gt;50,000",2,IF(D39="20,000 to 50,000",1.5,IF(D39="10,000 to 20,000",1,IF(D39="5,000 to 10,000",0.5,IF(D39="&gt;0 to 10,000",0.25,"")))))</f>
        <v>1</v>
      </c>
      <c r="F39" s="41" t="s">
        <v>21</v>
      </c>
      <c r="G39" s="35"/>
    </row>
    <row r="40" spans="1:7" ht="150" outlineLevel="1">
      <c r="A40" s="27" t="s">
        <v>1761</v>
      </c>
      <c r="B40" s="30" t="s">
        <v>41</v>
      </c>
      <c r="C40" s="104" t="s">
        <v>1847</v>
      </c>
      <c r="D40" s="100" t="s">
        <v>233</v>
      </c>
      <c r="E40" s="273">
        <f>IF(D40="Yes, the city has efficient vehicle behavior policies that apply to all private vehicles",0.5,IF(D40="City has efficient-vehicle behavior policies, but they only apply to a subset of private vehicles",0.25,IF(D40="No, the city does not have any such policies",0,"")))</f>
        <v>0.5</v>
      </c>
      <c r="F40" s="39" t="s">
        <v>367</v>
      </c>
    </row>
    <row r="41" spans="1:7" ht="45" outlineLevel="1">
      <c r="A41" s="26" t="s">
        <v>1733</v>
      </c>
      <c r="B41" s="30" t="s">
        <v>174</v>
      </c>
      <c r="C41" s="56">
        <f ca="1">IF(ISBLANK(D10),"",D9/(D10*0.001*(Intro!C20/Intro!E20)))</f>
        <v>0</v>
      </c>
      <c r="D41" s="100" t="s">
        <v>161</v>
      </c>
      <c r="E41" s="268">
        <f>IF(D41="Efficient intermodal freight facility to thousand ton mile ratio is 2 to 3:1",3,IF(D41="Efficient intermodal freight facility to thousand ton mile ratio is 1 to 1.99",2,IF(D41="Efficient intermodal freight facility to thousand ton mile ratio is 0.5 to 0.99",1,IF(D41="Efficient intermodal freight facility to thousand ton mile ratio is 0 to 0.49",0.5,IF(D41="Efficient intermodal freight facility to thousand ton mile ratio is 0",0,"")))))</f>
        <v>0</v>
      </c>
      <c r="F41" s="62" t="s">
        <v>142</v>
      </c>
    </row>
    <row r="42" spans="1:7" outlineLevel="1">
      <c r="E42" s="269"/>
    </row>
    <row r="43" spans="1:7" ht="15.75" outlineLevel="1" thickBot="1">
      <c r="D43" s="5" t="s">
        <v>374</v>
      </c>
      <c r="E43" s="274">
        <f>SUM(E36:E42)</f>
        <v>2.5</v>
      </c>
    </row>
    <row r="44" spans="1:7" ht="15.75" outlineLevel="1" thickTop="1">
      <c r="E44" s="269"/>
    </row>
    <row r="45" spans="1:7" outlineLevel="1">
      <c r="E45" s="269"/>
    </row>
    <row r="46" spans="1:7">
      <c r="A46" s="1" t="s">
        <v>366</v>
      </c>
      <c r="B46" s="1" t="s">
        <v>360</v>
      </c>
      <c r="E46" s="269"/>
    </row>
    <row r="47" spans="1:7" outlineLevel="1">
      <c r="E47" s="269"/>
    </row>
    <row r="48" spans="1:7" outlineLevel="1">
      <c r="A48" s="1" t="s">
        <v>438</v>
      </c>
      <c r="B48" s="1" t="s">
        <v>369</v>
      </c>
      <c r="C48" s="1" t="s">
        <v>362</v>
      </c>
      <c r="D48" s="1" t="s">
        <v>505</v>
      </c>
      <c r="E48" s="266" t="s">
        <v>352</v>
      </c>
      <c r="F48" s="4" t="s">
        <v>353</v>
      </c>
    </row>
    <row r="49" spans="1:6" ht="105" outlineLevel="1">
      <c r="A49" s="26" t="s">
        <v>1590</v>
      </c>
      <c r="B49" s="57" t="s">
        <v>1762</v>
      </c>
      <c r="C49" s="104" t="s">
        <v>1781</v>
      </c>
      <c r="D49" s="108">
        <v>0</v>
      </c>
      <c r="E49" s="268">
        <f ca="1">IF(D49="","",VLOOKUP(D49,'Hidden Sheet'!A210:B214,2,FALSE))</f>
        <v>0</v>
      </c>
      <c r="F49" s="40" t="s">
        <v>367</v>
      </c>
    </row>
    <row r="50" spans="1:6" ht="285" outlineLevel="1">
      <c r="A50" s="26" t="s">
        <v>27</v>
      </c>
      <c r="B50" s="57" t="s">
        <v>28</v>
      </c>
      <c r="C50" s="104" t="s">
        <v>1848</v>
      </c>
      <c r="D50" s="100" t="s">
        <v>170</v>
      </c>
      <c r="E50" s="267">
        <f>IF(D50="Yes, the city has implemented a broad set of TDM policies and programs",2,IF(D50="The city offers some TDM programs or actively partners with/funds programs run by others",1,IF(D50="The city does not have TDM policies or programs",0,"")))</f>
        <v>1</v>
      </c>
      <c r="F50" s="40" t="s">
        <v>367</v>
      </c>
    </row>
    <row r="51" spans="1:6" ht="45" outlineLevel="1">
      <c r="A51" s="45" t="s">
        <v>1734</v>
      </c>
      <c r="B51" s="57" t="s">
        <v>171</v>
      </c>
      <c r="C51" s="104" t="s">
        <v>1849</v>
      </c>
      <c r="D51" s="100" t="s">
        <v>33</v>
      </c>
      <c r="E51" s="267">
        <f>IF(D51="Yes, city incentives are in place for the purchase of high efficiency vehicles",1,IF(D51="No, city incentives are not in place for the purchase of high efficiency vehicles",0,""))</f>
        <v>0</v>
      </c>
      <c r="F51" s="40" t="s">
        <v>367</v>
      </c>
    </row>
    <row r="52" spans="1:6" ht="60" outlineLevel="1">
      <c r="A52" s="45" t="s">
        <v>1735</v>
      </c>
      <c r="B52" s="57" t="s">
        <v>37</v>
      </c>
      <c r="C52" s="104" t="s">
        <v>1830</v>
      </c>
      <c r="D52" s="100" t="s">
        <v>1850</v>
      </c>
      <c r="E52" s="267" t="str">
        <f>IF(D52="Yes, programs for the installation of EV charging infrastructure have been enacted",0.5,IF(D52="No, programs for the installation of EV charging infrastructure have not been enacted",0,""))</f>
        <v/>
      </c>
      <c r="F52" s="39" t="s">
        <v>367</v>
      </c>
    </row>
    <row r="53" spans="1:6" outlineLevel="1">
      <c r="E53" s="269"/>
    </row>
    <row r="54" spans="1:6" ht="15.75" outlineLevel="1" thickBot="1">
      <c r="D54" s="5" t="s">
        <v>375</v>
      </c>
      <c r="E54" s="274">
        <f>SUM(E49:E53)</f>
        <v>1</v>
      </c>
    </row>
    <row r="55" spans="1:6" ht="15.75" outlineLevel="1" thickTop="1">
      <c r="E55" s="269"/>
    </row>
    <row r="56" spans="1:6" outlineLevel="1">
      <c r="E56" s="269"/>
    </row>
    <row r="57" spans="1:6" outlineLevel="1">
      <c r="E57" s="269"/>
    </row>
    <row r="58" spans="1:6" ht="15.75" thickBot="1">
      <c r="D58" s="5" t="s">
        <v>354</v>
      </c>
      <c r="E58" s="270">
        <f>E30+E43+E22+E54</f>
        <v>7</v>
      </c>
    </row>
    <row r="59" spans="1:6" ht="15.75" thickTop="1">
      <c r="E59" s="269"/>
    </row>
    <row r="62" spans="1:6">
      <c r="A62" s="3"/>
    </row>
    <row r="63" spans="1:6">
      <c r="A63" s="10"/>
    </row>
    <row r="64" spans="1:6">
      <c r="A64" s="54"/>
    </row>
    <row r="65" spans="1:1">
      <c r="A65" s="54"/>
    </row>
    <row r="66" spans="1:1">
      <c r="A66" s="54"/>
    </row>
    <row r="67" spans="1:1">
      <c r="A67" s="54"/>
    </row>
    <row r="68" spans="1:1">
      <c r="A68" s="54"/>
    </row>
    <row r="69" spans="1:1">
      <c r="A69" s="54"/>
    </row>
  </sheetData>
  <sheetProtection password="C6D8" sheet="1" objects="1" scenarios="1"/>
  <mergeCells count="9">
    <mergeCell ref="A2:F2"/>
    <mergeCell ref="A37:A38"/>
    <mergeCell ref="A17:A18"/>
    <mergeCell ref="B6:C6"/>
    <mergeCell ref="B7:C7"/>
    <mergeCell ref="B9:C9"/>
    <mergeCell ref="B10:C10"/>
    <mergeCell ref="B5:D5"/>
    <mergeCell ref="B8:C8"/>
  </mergeCells>
  <phoneticPr fontId="43" type="noConversion"/>
  <conditionalFormatting sqref="D17">
    <cfRule type="expression" dxfId="0" priority="1">
      <formula>"if($C$6=""Municipally Owned Utility"")"</formula>
    </cfRule>
  </conditionalFormatting>
  <hyperlinks>
    <hyperlink ref="F16" r:id="rId1"/>
    <hyperlink ref="F17" r:id="rId2"/>
    <hyperlink ref="F20" r:id="rId3"/>
    <hyperlink ref="F39" r:id="rId4"/>
    <hyperlink ref="E7" r:id="rId5"/>
    <hyperlink ref="E9" r:id="rId6"/>
    <hyperlink ref="E10" r:id="rId7"/>
    <hyperlink ref="E8" r:id="rId8"/>
  </hyperlinks>
  <pageMargins left="0.7" right="0.7" top="0.75" bottom="0.75" header="0.3" footer="0.3"/>
  <pageSetup orientation="portrait" r:id="rId9"/>
  <legacyDrawing r:id="rId10"/>
</worksheet>
</file>

<file path=xl/worksheets/sheet7.xml><?xml version="1.0" encoding="utf-8"?>
<worksheet xmlns="http://schemas.openxmlformats.org/spreadsheetml/2006/main" xmlns:r="http://schemas.openxmlformats.org/officeDocument/2006/relationships">
  <sheetPr codeName="Sheet7"/>
  <dimension ref="A1:I233"/>
  <sheetViews>
    <sheetView topLeftCell="A109" workbookViewId="0">
      <selection activeCell="E129" sqref="E129"/>
    </sheetView>
  </sheetViews>
  <sheetFormatPr defaultRowHeight="15"/>
  <cols>
    <col min="1" max="1" width="29.5703125" customWidth="1"/>
    <col min="2" max="2" width="41.85546875" bestFit="1" customWidth="1"/>
    <col min="3" max="3" width="17.28515625" bestFit="1" customWidth="1"/>
    <col min="4" max="4" width="16.5703125" bestFit="1" customWidth="1"/>
    <col min="6" max="6" width="18.5703125" bestFit="1" customWidth="1"/>
    <col min="7" max="7" width="14.140625" bestFit="1" customWidth="1"/>
  </cols>
  <sheetData>
    <row r="1" spans="1:6" ht="21">
      <c r="A1" s="37" t="s">
        <v>458</v>
      </c>
    </row>
    <row r="3" spans="1:6">
      <c r="A3" t="s">
        <v>464</v>
      </c>
      <c r="B3" t="s">
        <v>461</v>
      </c>
      <c r="C3" t="s">
        <v>462</v>
      </c>
    </row>
    <row r="4" spans="1:6">
      <c r="A4" t="s">
        <v>465</v>
      </c>
      <c r="B4" t="s">
        <v>461</v>
      </c>
      <c r="C4" t="s">
        <v>466</v>
      </c>
      <c r="D4" t="s">
        <v>467</v>
      </c>
    </row>
    <row r="7" spans="1:6" ht="21">
      <c r="A7" s="37" t="s">
        <v>469</v>
      </c>
      <c r="C7" t="s">
        <v>257</v>
      </c>
    </row>
    <row r="9" spans="1:6">
      <c r="B9" t="s">
        <v>596</v>
      </c>
    </row>
    <row r="10" spans="1:6">
      <c r="A10" t="s">
        <v>368</v>
      </c>
      <c r="B10" t="s">
        <v>478</v>
      </c>
      <c r="C10" t="s">
        <v>646</v>
      </c>
      <c r="D10" t="s">
        <v>647</v>
      </c>
    </row>
    <row r="11" spans="1:6">
      <c r="B11" t="s">
        <v>399</v>
      </c>
      <c r="C11" t="s">
        <v>599</v>
      </c>
      <c r="D11" t="s">
        <v>600</v>
      </c>
      <c r="E11" t="s">
        <v>601</v>
      </c>
    </row>
    <row r="12" spans="1:6">
      <c r="B12" t="s">
        <v>415</v>
      </c>
      <c r="C12" t="s">
        <v>603</v>
      </c>
      <c r="D12" t="s">
        <v>602</v>
      </c>
    </row>
    <row r="13" spans="1:6">
      <c r="B13" t="s">
        <v>604</v>
      </c>
      <c r="C13" t="s">
        <v>606</v>
      </c>
      <c r="D13" t="s">
        <v>605</v>
      </c>
    </row>
    <row r="14" spans="1:6">
      <c r="B14" t="s">
        <v>423</v>
      </c>
      <c r="C14" t="s">
        <v>608</v>
      </c>
      <c r="D14" t="s">
        <v>609</v>
      </c>
      <c r="E14" t="s">
        <v>610</v>
      </c>
      <c r="F14" t="s">
        <v>611</v>
      </c>
    </row>
    <row r="15" spans="1:6">
      <c r="B15" t="s">
        <v>430</v>
      </c>
      <c r="C15" t="s">
        <v>255</v>
      </c>
      <c r="D15" t="s">
        <v>256</v>
      </c>
    </row>
    <row r="16" spans="1:6">
      <c r="B16" t="s">
        <v>521</v>
      </c>
      <c r="C16" t="s">
        <v>259</v>
      </c>
      <c r="D16" t="s">
        <v>260</v>
      </c>
    </row>
    <row r="18" spans="1:6">
      <c r="A18" t="s">
        <v>370</v>
      </c>
      <c r="B18" t="s">
        <v>613</v>
      </c>
      <c r="C18" t="s">
        <v>614</v>
      </c>
      <c r="D18" t="s">
        <v>651</v>
      </c>
      <c r="E18" t="s">
        <v>652</v>
      </c>
    </row>
    <row r="19" spans="1:6">
      <c r="B19" t="s">
        <v>616</v>
      </c>
      <c r="C19" t="s">
        <v>608</v>
      </c>
      <c r="D19" t="s">
        <v>609</v>
      </c>
      <c r="E19" t="s">
        <v>610</v>
      </c>
      <c r="F19" t="s">
        <v>617</v>
      </c>
    </row>
    <row r="20" spans="1:6">
      <c r="B20" t="s">
        <v>624</v>
      </c>
      <c r="C20" t="s">
        <v>625</v>
      </c>
      <c r="D20" t="s">
        <v>626</v>
      </c>
    </row>
    <row r="22" spans="1:6">
      <c r="A22" t="s">
        <v>371</v>
      </c>
      <c r="B22" t="s">
        <v>449</v>
      </c>
      <c r="C22" t="s">
        <v>620</v>
      </c>
      <c r="D22" t="s">
        <v>619</v>
      </c>
      <c r="E22" t="s">
        <v>654</v>
      </c>
      <c r="F22" t="s">
        <v>621</v>
      </c>
    </row>
    <row r="23" spans="1:6">
      <c r="B23" t="s">
        <v>490</v>
      </c>
      <c r="C23" t="s">
        <v>234</v>
      </c>
      <c r="D23" t="s">
        <v>656</v>
      </c>
      <c r="E23" t="s">
        <v>655</v>
      </c>
    </row>
    <row r="24" spans="1:6">
      <c r="B24" t="s">
        <v>496</v>
      </c>
      <c r="C24" t="s">
        <v>657</v>
      </c>
      <c r="D24" t="s">
        <v>658</v>
      </c>
    </row>
    <row r="25" spans="1:6">
      <c r="B25" t="s">
        <v>502</v>
      </c>
      <c r="C25" t="s">
        <v>623</v>
      </c>
      <c r="D25" t="s">
        <v>235</v>
      </c>
      <c r="E25" t="s">
        <v>659</v>
      </c>
    </row>
    <row r="26" spans="1:6">
      <c r="B26" t="s">
        <v>532</v>
      </c>
      <c r="C26" t="s">
        <v>627</v>
      </c>
      <c r="D26" t="s">
        <v>628</v>
      </c>
    </row>
    <row r="27" spans="1:6">
      <c r="B27" t="s">
        <v>535</v>
      </c>
      <c r="C27" t="s">
        <v>631</v>
      </c>
      <c r="D27" t="s">
        <v>632</v>
      </c>
    </row>
    <row r="28" spans="1:6">
      <c r="B28" t="s">
        <v>540</v>
      </c>
      <c r="C28" t="s">
        <v>633</v>
      </c>
      <c r="D28" t="s">
        <v>634</v>
      </c>
      <c r="E28" t="s">
        <v>635</v>
      </c>
    </row>
    <row r="29" spans="1:6">
      <c r="B29" t="s">
        <v>541</v>
      </c>
      <c r="C29" t="s">
        <v>54</v>
      </c>
      <c r="D29" t="s">
        <v>661</v>
      </c>
      <c r="E29" t="s">
        <v>636</v>
      </c>
    </row>
    <row r="30" spans="1:6">
      <c r="B30" t="s">
        <v>637</v>
      </c>
      <c r="C30" t="s">
        <v>662</v>
      </c>
      <c r="D30" t="s">
        <v>664</v>
      </c>
      <c r="E30" t="s">
        <v>236</v>
      </c>
      <c r="F30" t="s">
        <v>638</v>
      </c>
    </row>
    <row r="31" spans="1:6">
      <c r="B31" t="s">
        <v>641</v>
      </c>
      <c r="C31" t="s">
        <v>665</v>
      </c>
      <c r="D31" t="s">
        <v>642</v>
      </c>
      <c r="E31" t="s">
        <v>643</v>
      </c>
      <c r="F31" t="s">
        <v>644</v>
      </c>
    </row>
    <row r="32" spans="1:6">
      <c r="B32" t="s">
        <v>432</v>
      </c>
      <c r="C32" t="s">
        <v>666</v>
      </c>
      <c r="D32" t="s">
        <v>667</v>
      </c>
    </row>
    <row r="35" spans="1:7">
      <c r="C35" t="s">
        <v>640</v>
      </c>
    </row>
    <row r="36" spans="1:7" ht="21">
      <c r="A36" s="37" t="s">
        <v>356</v>
      </c>
    </row>
    <row r="38" spans="1:7">
      <c r="A38" t="s">
        <v>368</v>
      </c>
      <c r="B38" t="s">
        <v>478</v>
      </c>
    </row>
    <row r="39" spans="1:7">
      <c r="B39" t="s">
        <v>399</v>
      </c>
      <c r="C39" t="s">
        <v>479</v>
      </c>
      <c r="D39" t="s">
        <v>480</v>
      </c>
    </row>
    <row r="41" spans="1:7">
      <c r="A41" t="s">
        <v>482</v>
      </c>
      <c r="B41" t="s">
        <v>506</v>
      </c>
      <c r="C41" t="s">
        <v>507</v>
      </c>
      <c r="D41" t="s">
        <v>508</v>
      </c>
    </row>
    <row r="43" spans="1:7">
      <c r="A43" t="s">
        <v>371</v>
      </c>
      <c r="B43" t="s">
        <v>403</v>
      </c>
      <c r="C43" t="s">
        <v>61</v>
      </c>
      <c r="D43" t="s">
        <v>58</v>
      </c>
      <c r="E43" t="s">
        <v>59</v>
      </c>
      <c r="F43" t="s">
        <v>510</v>
      </c>
      <c r="G43" t="s">
        <v>60</v>
      </c>
    </row>
    <row r="44" spans="1:7">
      <c r="B44" t="s">
        <v>407</v>
      </c>
      <c r="C44" t="s">
        <v>486</v>
      </c>
      <c r="D44" t="s">
        <v>511</v>
      </c>
    </row>
    <row r="45" spans="1:7">
      <c r="B45" t="s">
        <v>485</v>
      </c>
      <c r="C45" t="s">
        <v>63</v>
      </c>
      <c r="D45" t="s">
        <v>64</v>
      </c>
    </row>
    <row r="46" spans="1:7">
      <c r="B46" t="s">
        <v>449</v>
      </c>
      <c r="C46" t="s">
        <v>487</v>
      </c>
      <c r="D46" t="s">
        <v>252</v>
      </c>
      <c r="E46" t="s">
        <v>488</v>
      </c>
    </row>
    <row r="47" spans="1:7">
      <c r="B47" t="s">
        <v>490</v>
      </c>
      <c r="C47" t="s">
        <v>491</v>
      </c>
      <c r="D47" t="s">
        <v>492</v>
      </c>
      <c r="E47" t="s">
        <v>493</v>
      </c>
      <c r="F47" t="s">
        <v>494</v>
      </c>
      <c r="G47" t="s">
        <v>495</v>
      </c>
    </row>
    <row r="48" spans="1:7">
      <c r="B48" t="s">
        <v>496</v>
      </c>
      <c r="C48" t="s">
        <v>497</v>
      </c>
      <c r="D48" t="s">
        <v>499</v>
      </c>
      <c r="E48" t="s">
        <v>498</v>
      </c>
      <c r="F48" t="s">
        <v>500</v>
      </c>
    </row>
    <row r="49" spans="1:8">
      <c r="B49" t="s">
        <v>502</v>
      </c>
      <c r="C49" t="s">
        <v>503</v>
      </c>
      <c r="D49" t="s">
        <v>504</v>
      </c>
    </row>
    <row r="52" spans="1:8" ht="21">
      <c r="A52" s="37" t="s">
        <v>459</v>
      </c>
    </row>
    <row r="53" spans="1:8">
      <c r="B53" s="9" t="s">
        <v>405</v>
      </c>
    </row>
    <row r="54" spans="1:8">
      <c r="B54" s="9"/>
    </row>
    <row r="55" spans="1:8">
      <c r="A55" t="s">
        <v>368</v>
      </c>
      <c r="B55" s="19" t="s">
        <v>422</v>
      </c>
      <c r="C55" t="s">
        <v>443</v>
      </c>
      <c r="D55" t="s">
        <v>416</v>
      </c>
      <c r="E55" t="s">
        <v>444</v>
      </c>
    </row>
    <row r="56" spans="1:8">
      <c r="B56" s="19" t="s">
        <v>399</v>
      </c>
      <c r="C56" t="s">
        <v>417</v>
      </c>
      <c r="D56" t="s">
        <v>418</v>
      </c>
      <c r="E56" t="s">
        <v>390</v>
      </c>
      <c r="F56" t="s">
        <v>419</v>
      </c>
      <c r="G56" t="s">
        <v>222</v>
      </c>
    </row>
    <row r="57" spans="1:8">
      <c r="B57" t="s">
        <v>415</v>
      </c>
      <c r="C57" t="s">
        <v>417</v>
      </c>
      <c r="D57" t="s">
        <v>418</v>
      </c>
      <c r="E57" t="s">
        <v>390</v>
      </c>
      <c r="F57" t="s">
        <v>419</v>
      </c>
    </row>
    <row r="58" spans="1:8">
      <c r="B58" t="s">
        <v>423</v>
      </c>
      <c r="C58" t="s">
        <v>424</v>
      </c>
      <c r="D58" t="s">
        <v>425</v>
      </c>
      <c r="E58" t="s">
        <v>68</v>
      </c>
      <c r="F58" t="s">
        <v>426</v>
      </c>
      <c r="G58" t="s">
        <v>222</v>
      </c>
    </row>
    <row r="59" spans="1:8">
      <c r="B59" t="s">
        <v>430</v>
      </c>
      <c r="C59" t="s">
        <v>424</v>
      </c>
      <c r="D59" t="s">
        <v>425</v>
      </c>
      <c r="E59" t="s">
        <v>68</v>
      </c>
      <c r="F59" t="s">
        <v>426</v>
      </c>
      <c r="G59" t="s">
        <v>222</v>
      </c>
    </row>
    <row r="60" spans="1:8">
      <c r="B60" t="s">
        <v>78</v>
      </c>
      <c r="C60" s="9" t="s">
        <v>79</v>
      </c>
      <c r="D60" t="s">
        <v>80</v>
      </c>
      <c r="E60" t="s">
        <v>81</v>
      </c>
      <c r="F60" t="s">
        <v>82</v>
      </c>
      <c r="G60" t="s">
        <v>83</v>
      </c>
      <c r="H60" t="s">
        <v>84</v>
      </c>
    </row>
    <row r="63" spans="1:8">
      <c r="B63" t="s">
        <v>406</v>
      </c>
    </row>
    <row r="64" spans="1:8">
      <c r="B64" t="s">
        <v>420</v>
      </c>
    </row>
    <row r="65" spans="1:7">
      <c r="A65" s="9" t="s">
        <v>69</v>
      </c>
      <c r="D65" s="9" t="s">
        <v>457</v>
      </c>
    </row>
    <row r="66" spans="1:7">
      <c r="A66" t="s">
        <v>417</v>
      </c>
      <c r="B66">
        <v>1.5</v>
      </c>
      <c r="D66" t="s">
        <v>417</v>
      </c>
      <c r="E66">
        <v>1.5</v>
      </c>
    </row>
    <row r="67" spans="1:7">
      <c r="A67" t="s">
        <v>418</v>
      </c>
      <c r="B67" s="17">
        <v>1</v>
      </c>
      <c r="D67" t="s">
        <v>418</v>
      </c>
      <c r="E67">
        <v>1</v>
      </c>
      <c r="G67" s="17"/>
    </row>
    <row r="68" spans="1:7">
      <c r="A68" t="s">
        <v>390</v>
      </c>
      <c r="B68">
        <v>0.5</v>
      </c>
      <c r="D68" t="s">
        <v>390</v>
      </c>
      <c r="E68">
        <v>0.5</v>
      </c>
    </row>
    <row r="69" spans="1:7">
      <c r="A69" t="s">
        <v>419</v>
      </c>
      <c r="B69">
        <v>0.25</v>
      </c>
      <c r="D69" t="s">
        <v>419</v>
      </c>
      <c r="E69">
        <v>0.25</v>
      </c>
    </row>
    <row r="70" spans="1:7">
      <c r="A70" t="s">
        <v>222</v>
      </c>
      <c r="B70">
        <v>0</v>
      </c>
      <c r="D70" t="s">
        <v>222</v>
      </c>
      <c r="E70">
        <v>0</v>
      </c>
    </row>
    <row r="72" spans="1:7">
      <c r="A72" s="9" t="s">
        <v>427</v>
      </c>
    </row>
    <row r="73" spans="1:7">
      <c r="A73" t="s">
        <v>417</v>
      </c>
      <c r="B73">
        <v>3</v>
      </c>
    </row>
    <row r="74" spans="1:7">
      <c r="A74" t="s">
        <v>418</v>
      </c>
      <c r="B74">
        <v>2</v>
      </c>
    </row>
    <row r="75" spans="1:7">
      <c r="A75" t="s">
        <v>390</v>
      </c>
      <c r="B75">
        <v>1</v>
      </c>
    </row>
    <row r="76" spans="1:7">
      <c r="A76" t="s">
        <v>419</v>
      </c>
      <c r="B76">
        <v>0.5</v>
      </c>
    </row>
    <row r="77" spans="1:7">
      <c r="A77" t="s">
        <v>222</v>
      </c>
      <c r="B77">
        <v>0</v>
      </c>
    </row>
    <row r="79" spans="1:7">
      <c r="A79" s="9" t="s">
        <v>428</v>
      </c>
      <c r="D79" s="9" t="s">
        <v>457</v>
      </c>
    </row>
    <row r="80" spans="1:7">
      <c r="A80" t="s">
        <v>424</v>
      </c>
      <c r="B80">
        <v>1.5</v>
      </c>
      <c r="D80" t="s">
        <v>424</v>
      </c>
      <c r="E80">
        <v>1.5</v>
      </c>
    </row>
    <row r="81" spans="1:5">
      <c r="A81" t="s">
        <v>425</v>
      </c>
      <c r="B81">
        <v>1</v>
      </c>
      <c r="D81" t="s">
        <v>425</v>
      </c>
      <c r="E81">
        <v>1</v>
      </c>
    </row>
    <row r="82" spans="1:5">
      <c r="A82" t="s">
        <v>68</v>
      </c>
      <c r="B82">
        <v>0.5</v>
      </c>
      <c r="D82" t="s">
        <v>68</v>
      </c>
      <c r="E82">
        <v>0.5</v>
      </c>
    </row>
    <row r="83" spans="1:5">
      <c r="A83" t="s">
        <v>426</v>
      </c>
      <c r="B83">
        <v>0.25</v>
      </c>
      <c r="D83" t="s">
        <v>426</v>
      </c>
      <c r="E83">
        <v>0.25</v>
      </c>
    </row>
    <row r="84" spans="1:5">
      <c r="A84" t="s">
        <v>222</v>
      </c>
      <c r="B84">
        <v>0</v>
      </c>
      <c r="D84" t="s">
        <v>222</v>
      </c>
      <c r="E84">
        <v>0</v>
      </c>
    </row>
    <row r="86" spans="1:5">
      <c r="A86" s="9" t="s">
        <v>429</v>
      </c>
    </row>
    <row r="87" spans="1:5">
      <c r="A87" t="s">
        <v>424</v>
      </c>
      <c r="B87">
        <v>3</v>
      </c>
    </row>
    <row r="88" spans="1:5">
      <c r="A88" t="s">
        <v>425</v>
      </c>
      <c r="B88">
        <v>2</v>
      </c>
    </row>
    <row r="89" spans="1:5">
      <c r="A89" t="s">
        <v>68</v>
      </c>
      <c r="B89">
        <v>1</v>
      </c>
    </row>
    <row r="90" spans="1:5">
      <c r="A90" t="s">
        <v>426</v>
      </c>
      <c r="B90">
        <v>0.5</v>
      </c>
    </row>
    <row r="91" spans="1:5">
      <c r="A91" t="s">
        <v>222</v>
      </c>
      <c r="B91">
        <v>0</v>
      </c>
    </row>
    <row r="93" spans="1:5">
      <c r="A93" t="s">
        <v>414</v>
      </c>
      <c r="B93" t="s">
        <v>449</v>
      </c>
      <c r="C93" t="s">
        <v>450</v>
      </c>
      <c r="D93" t="s">
        <v>451</v>
      </c>
    </row>
    <row r="94" spans="1:5">
      <c r="B94" t="s">
        <v>445</v>
      </c>
      <c r="C94" t="s">
        <v>446</v>
      </c>
      <c r="D94" t="s">
        <v>447</v>
      </c>
    </row>
    <row r="95" spans="1:5">
      <c r="B95" t="s">
        <v>421</v>
      </c>
      <c r="C95" t="s">
        <v>86</v>
      </c>
      <c r="D95" t="s">
        <v>87</v>
      </c>
      <c r="E95" t="s">
        <v>88</v>
      </c>
    </row>
    <row r="96" spans="1:5">
      <c r="B96" t="s">
        <v>404</v>
      </c>
      <c r="C96" t="s">
        <v>89</v>
      </c>
      <c r="D96" t="s">
        <v>91</v>
      </c>
      <c r="E96" t="s">
        <v>90</v>
      </c>
    </row>
    <row r="97" spans="1:7">
      <c r="B97" t="s">
        <v>407</v>
      </c>
      <c r="C97" t="s">
        <v>408</v>
      </c>
      <c r="D97" t="s">
        <v>409</v>
      </c>
      <c r="E97" t="s">
        <v>410</v>
      </c>
      <c r="F97" t="s">
        <v>251</v>
      </c>
    </row>
    <row r="98" spans="1:7">
      <c r="B98" t="s">
        <v>411</v>
      </c>
      <c r="C98" t="s">
        <v>93</v>
      </c>
      <c r="D98" t="s">
        <v>412</v>
      </c>
      <c r="E98" t="s">
        <v>413</v>
      </c>
      <c r="F98" t="s">
        <v>251</v>
      </c>
    </row>
    <row r="100" spans="1:7">
      <c r="B100" s="9" t="s">
        <v>406</v>
      </c>
    </row>
    <row r="101" spans="1:7">
      <c r="B101" t="s">
        <v>92</v>
      </c>
      <c r="C101" s="16">
        <v>4</v>
      </c>
      <c r="D101" s="16">
        <v>3</v>
      </c>
      <c r="E101" s="16">
        <v>2</v>
      </c>
      <c r="F101" s="16">
        <v>1</v>
      </c>
      <c r="G101" s="16">
        <v>0</v>
      </c>
    </row>
    <row r="102" spans="1:7">
      <c r="A102">
        <v>0</v>
      </c>
      <c r="B102" s="17">
        <v>0</v>
      </c>
      <c r="D102" s="16"/>
      <c r="E102" s="16"/>
      <c r="F102" s="16"/>
      <c r="G102" s="16"/>
    </row>
    <row r="103" spans="1:7">
      <c r="A103">
        <v>1</v>
      </c>
      <c r="B103" s="18">
        <v>0.5</v>
      </c>
      <c r="D103" s="15"/>
      <c r="E103" s="15"/>
      <c r="F103" s="15"/>
      <c r="G103" s="15"/>
    </row>
    <row r="104" spans="1:7">
      <c r="A104">
        <v>2</v>
      </c>
      <c r="B104" s="17">
        <v>1</v>
      </c>
      <c r="D104" s="15"/>
      <c r="E104" s="15"/>
      <c r="F104" s="15"/>
      <c r="G104" s="15"/>
    </row>
    <row r="105" spans="1:7">
      <c r="A105">
        <v>3</v>
      </c>
      <c r="B105" s="18">
        <v>1.5</v>
      </c>
    </row>
    <row r="106" spans="1:7">
      <c r="A106">
        <v>4</v>
      </c>
      <c r="B106" s="17">
        <v>2</v>
      </c>
    </row>
    <row r="107" spans="1:7">
      <c r="B107" s="17"/>
    </row>
    <row r="108" spans="1:7">
      <c r="A108" t="s">
        <v>371</v>
      </c>
      <c r="B108" s="17" t="s">
        <v>432</v>
      </c>
      <c r="C108" t="s">
        <v>433</v>
      </c>
      <c r="D108" t="s">
        <v>455</v>
      </c>
      <c r="E108" t="s">
        <v>434</v>
      </c>
    </row>
    <row r="109" spans="1:7">
      <c r="B109" s="17" t="s">
        <v>454</v>
      </c>
      <c r="C109" t="s">
        <v>452</v>
      </c>
      <c r="D109" t="s">
        <v>453</v>
      </c>
    </row>
    <row r="110" spans="1:7">
      <c r="B110" s="17" t="s">
        <v>70</v>
      </c>
      <c r="C110" s="9" t="s">
        <v>474</v>
      </c>
      <c r="D110" t="s">
        <v>227</v>
      </c>
      <c r="E110" t="s">
        <v>71</v>
      </c>
      <c r="F110" t="s">
        <v>72</v>
      </c>
    </row>
    <row r="111" spans="1:7">
      <c r="B111" s="17" t="s">
        <v>162</v>
      </c>
      <c r="C111" s="9" t="s">
        <v>670</v>
      </c>
      <c r="D111" t="s">
        <v>164</v>
      </c>
      <c r="E111" t="s">
        <v>163</v>
      </c>
    </row>
    <row r="112" spans="1:7">
      <c r="B112" s="17"/>
    </row>
    <row r="113" spans="1:9">
      <c r="B113" s="17"/>
    </row>
    <row r="114" spans="1:9">
      <c r="A114" t="s">
        <v>360</v>
      </c>
      <c r="B114" t="s">
        <v>435</v>
      </c>
      <c r="C114" t="s">
        <v>94</v>
      </c>
      <c r="D114" t="s">
        <v>95</v>
      </c>
    </row>
    <row r="115" spans="1:9">
      <c r="A115" s="17" t="s">
        <v>436</v>
      </c>
      <c r="B115" s="17">
        <v>6</v>
      </c>
      <c r="C115" s="17">
        <v>5</v>
      </c>
      <c r="D115" s="17">
        <v>4</v>
      </c>
      <c r="E115" s="17">
        <v>3</v>
      </c>
      <c r="F115" s="17">
        <v>2</v>
      </c>
      <c r="G115" s="17">
        <v>1</v>
      </c>
      <c r="H115" s="17">
        <v>0</v>
      </c>
    </row>
    <row r="116" spans="1:9">
      <c r="B116" s="17"/>
      <c r="C116" s="15"/>
      <c r="D116" s="15"/>
      <c r="E116" s="15"/>
      <c r="F116" s="15"/>
      <c r="G116" s="15"/>
      <c r="H116" s="15"/>
      <c r="I116" s="15"/>
    </row>
    <row r="117" spans="1:9">
      <c r="B117" s="25" t="s">
        <v>406</v>
      </c>
      <c r="C117" s="15"/>
      <c r="D117" s="15"/>
      <c r="E117" s="15"/>
      <c r="F117" s="15"/>
      <c r="G117" s="15"/>
      <c r="H117" s="15"/>
      <c r="I117" s="15"/>
    </row>
    <row r="118" spans="1:9">
      <c r="A118" s="16">
        <v>6</v>
      </c>
      <c r="B118" s="16">
        <v>3</v>
      </c>
    </row>
    <row r="119" spans="1:9">
      <c r="A119" s="16">
        <v>5</v>
      </c>
      <c r="B119" s="16">
        <v>2.5</v>
      </c>
    </row>
    <row r="120" spans="1:9">
      <c r="A120" s="16">
        <v>4</v>
      </c>
      <c r="B120" s="16">
        <v>2</v>
      </c>
    </row>
    <row r="121" spans="1:9">
      <c r="A121" s="16">
        <v>3</v>
      </c>
      <c r="B121" s="16">
        <v>1.5</v>
      </c>
    </row>
    <row r="122" spans="1:9">
      <c r="A122" s="16">
        <v>2</v>
      </c>
      <c r="B122" s="16">
        <v>1</v>
      </c>
    </row>
    <row r="123" spans="1:9">
      <c r="A123" s="16">
        <v>1</v>
      </c>
      <c r="B123" s="16">
        <v>0.5</v>
      </c>
    </row>
    <row r="124" spans="1:9">
      <c r="A124" s="16">
        <v>0</v>
      </c>
      <c r="B124" s="16">
        <v>0</v>
      </c>
    </row>
    <row r="125" spans="1:9">
      <c r="A125" s="16"/>
      <c r="B125" s="16"/>
    </row>
    <row r="126" spans="1:9">
      <c r="A126" s="16"/>
      <c r="B126" s="16"/>
    </row>
    <row r="127" spans="1:9">
      <c r="A127" s="16" t="s">
        <v>361</v>
      </c>
      <c r="B127" s="16" t="s">
        <v>1769</v>
      </c>
      <c r="C127" t="s">
        <v>96</v>
      </c>
      <c r="D127" t="s">
        <v>97</v>
      </c>
      <c r="E127" t="s">
        <v>98</v>
      </c>
      <c r="F127" t="s">
        <v>99</v>
      </c>
    </row>
    <row r="128" spans="1:9">
      <c r="A128" s="16"/>
      <c r="B128" s="16" t="s">
        <v>456</v>
      </c>
      <c r="C128" t="s">
        <v>1767</v>
      </c>
      <c r="D128" t="s">
        <v>1768</v>
      </c>
      <c r="E128" t="s">
        <v>1770</v>
      </c>
    </row>
    <row r="129" spans="1:5">
      <c r="A129" s="16"/>
      <c r="B129" s="16"/>
    </row>
    <row r="130" spans="1:5">
      <c r="A130" s="16"/>
      <c r="B130" s="16"/>
    </row>
    <row r="131" spans="1:5" ht="21">
      <c r="A131" s="37" t="s">
        <v>513</v>
      </c>
      <c r="B131" s="16"/>
    </row>
    <row r="132" spans="1:5">
      <c r="A132" s="16"/>
      <c r="B132" s="16"/>
    </row>
    <row r="133" spans="1:5">
      <c r="A133" s="16"/>
      <c r="B133" s="16" t="s">
        <v>369</v>
      </c>
    </row>
    <row r="134" spans="1:5">
      <c r="A134" s="16" t="s">
        <v>368</v>
      </c>
      <c r="B134" s="16" t="s">
        <v>478</v>
      </c>
      <c r="C134" t="s">
        <v>514</v>
      </c>
      <c r="D134" t="s">
        <v>515</v>
      </c>
    </row>
    <row r="135" spans="1:5">
      <c r="A135" s="16"/>
      <c r="B135" s="16" t="s">
        <v>519</v>
      </c>
      <c r="C135" t="s">
        <v>103</v>
      </c>
      <c r="D135" t="s">
        <v>104</v>
      </c>
    </row>
    <row r="136" spans="1:5">
      <c r="A136" s="16"/>
      <c r="B136" s="16" t="s">
        <v>520</v>
      </c>
      <c r="C136" t="s">
        <v>105</v>
      </c>
      <c r="D136" t="s">
        <v>106</v>
      </c>
    </row>
    <row r="137" spans="1:5">
      <c r="A137" s="16"/>
      <c r="B137" s="16" t="s">
        <v>521</v>
      </c>
      <c r="C137" t="s">
        <v>107</v>
      </c>
      <c r="D137" t="s">
        <v>108</v>
      </c>
    </row>
    <row r="138" spans="1:5">
      <c r="A138" s="16"/>
      <c r="B138" s="16" t="s">
        <v>523</v>
      </c>
      <c r="C138" t="s">
        <v>524</v>
      </c>
      <c r="D138" t="s">
        <v>525</v>
      </c>
    </row>
    <row r="139" spans="1:5">
      <c r="A139" s="16"/>
      <c r="B139" s="16"/>
    </row>
    <row r="140" spans="1:5">
      <c r="A140" s="16"/>
      <c r="B140" s="16"/>
    </row>
    <row r="141" spans="1:5">
      <c r="A141" t="s">
        <v>414</v>
      </c>
      <c r="B141" s="16" t="s">
        <v>526</v>
      </c>
      <c r="C141" t="s">
        <v>109</v>
      </c>
      <c r="D141" t="s">
        <v>110</v>
      </c>
      <c r="E141" t="s">
        <v>111</v>
      </c>
    </row>
    <row r="142" spans="1:5">
      <c r="A142" s="16"/>
      <c r="B142" s="16" t="s">
        <v>528</v>
      </c>
      <c r="C142" t="s">
        <v>529</v>
      </c>
      <c r="D142" t="s">
        <v>228</v>
      </c>
      <c r="E142" t="s">
        <v>229</v>
      </c>
    </row>
    <row r="143" spans="1:5">
      <c r="A143" s="16"/>
      <c r="B143" s="16" t="s">
        <v>403</v>
      </c>
      <c r="C143" t="s">
        <v>230</v>
      </c>
      <c r="D143" t="s">
        <v>231</v>
      </c>
    </row>
    <row r="144" spans="1:5">
      <c r="A144" s="16"/>
      <c r="B144" s="16"/>
    </row>
    <row r="145" spans="1:7">
      <c r="A145" s="16"/>
      <c r="B145" s="16"/>
    </row>
    <row r="146" spans="1:7">
      <c r="A146" t="s">
        <v>371</v>
      </c>
      <c r="B146" s="16" t="s">
        <v>502</v>
      </c>
      <c r="C146" t="s">
        <v>568</v>
      </c>
      <c r="D146" t="s">
        <v>114</v>
      </c>
      <c r="E146" t="s">
        <v>113</v>
      </c>
    </row>
    <row r="147" spans="1:7">
      <c r="B147" s="16" t="s">
        <v>70</v>
      </c>
      <c r="C147" s="9" t="s">
        <v>116</v>
      </c>
      <c r="D147" t="s">
        <v>117</v>
      </c>
      <c r="E147" t="s">
        <v>118</v>
      </c>
    </row>
    <row r="148" spans="1:7">
      <c r="A148" s="16"/>
      <c r="B148" s="16" t="s">
        <v>532</v>
      </c>
      <c r="C148" t="s">
        <v>533</v>
      </c>
      <c r="D148" t="s">
        <v>534</v>
      </c>
    </row>
    <row r="149" spans="1:7">
      <c r="A149" s="16"/>
      <c r="B149" s="16" t="s">
        <v>535</v>
      </c>
      <c r="C149" t="s">
        <v>536</v>
      </c>
      <c r="D149" t="s">
        <v>537</v>
      </c>
    </row>
    <row r="150" spans="1:7">
      <c r="A150" s="16"/>
      <c r="B150" s="16" t="s">
        <v>540</v>
      </c>
      <c r="C150" t="s">
        <v>176</v>
      </c>
      <c r="D150" t="s">
        <v>175</v>
      </c>
      <c r="E150" t="s">
        <v>177</v>
      </c>
    </row>
    <row r="151" spans="1:7">
      <c r="A151" s="16"/>
      <c r="B151" s="16" t="s">
        <v>541</v>
      </c>
      <c r="C151" t="s">
        <v>542</v>
      </c>
      <c r="D151" t="s">
        <v>178</v>
      </c>
      <c r="E151" t="s">
        <v>543</v>
      </c>
    </row>
    <row r="152" spans="1:7">
      <c r="A152" s="16"/>
      <c r="B152" s="16"/>
    </row>
    <row r="153" spans="1:7">
      <c r="A153" s="16" t="s">
        <v>360</v>
      </c>
      <c r="B153" s="16" t="s">
        <v>551</v>
      </c>
      <c r="C153" t="s">
        <v>552</v>
      </c>
      <c r="D153" t="s">
        <v>553</v>
      </c>
    </row>
    <row r="154" spans="1:7">
      <c r="A154" s="16"/>
      <c r="B154" s="16" t="s">
        <v>589</v>
      </c>
      <c r="C154" t="s">
        <v>590</v>
      </c>
      <c r="D154" t="s">
        <v>591</v>
      </c>
      <c r="E154" t="s">
        <v>592</v>
      </c>
      <c r="F154" t="s">
        <v>593</v>
      </c>
      <c r="G154" t="s">
        <v>594</v>
      </c>
    </row>
    <row r="155" spans="1:7">
      <c r="A155" s="16"/>
      <c r="B155" s="16"/>
    </row>
    <row r="156" spans="1:7">
      <c r="A156" s="16"/>
      <c r="B156" s="16" t="s">
        <v>579</v>
      </c>
    </row>
    <row r="157" spans="1:7">
      <c r="A157" s="47" t="s">
        <v>569</v>
      </c>
      <c r="B157" s="16"/>
      <c r="D157" s="9" t="s">
        <v>578</v>
      </c>
    </row>
    <row r="158" spans="1:7">
      <c r="A158" s="16" t="s">
        <v>570</v>
      </c>
      <c r="B158" s="16">
        <v>4</v>
      </c>
      <c r="D158" s="16" t="s">
        <v>570</v>
      </c>
      <c r="E158">
        <v>2</v>
      </c>
    </row>
    <row r="159" spans="1:7">
      <c r="A159" s="16" t="s">
        <v>571</v>
      </c>
      <c r="B159" s="16">
        <v>3.5</v>
      </c>
      <c r="D159" s="16" t="s">
        <v>571</v>
      </c>
      <c r="E159">
        <v>1.75</v>
      </c>
    </row>
    <row r="160" spans="1:7">
      <c r="A160" s="16" t="s">
        <v>572</v>
      </c>
      <c r="B160" s="16">
        <v>3</v>
      </c>
      <c r="D160" s="16" t="s">
        <v>572</v>
      </c>
      <c r="E160">
        <v>1.5</v>
      </c>
    </row>
    <row r="161" spans="1:5">
      <c r="A161" s="16" t="s">
        <v>573</v>
      </c>
      <c r="B161" s="16">
        <v>2.5</v>
      </c>
      <c r="D161" s="16" t="s">
        <v>573</v>
      </c>
      <c r="E161">
        <v>1.25</v>
      </c>
    </row>
    <row r="162" spans="1:5">
      <c r="A162" s="16" t="s">
        <v>574</v>
      </c>
      <c r="B162" s="16">
        <v>2</v>
      </c>
      <c r="D162" s="16" t="s">
        <v>574</v>
      </c>
      <c r="E162">
        <v>1</v>
      </c>
    </row>
    <row r="163" spans="1:5">
      <c r="A163" s="16" t="s">
        <v>575</v>
      </c>
      <c r="B163" s="16">
        <v>1.5</v>
      </c>
      <c r="D163" s="16" t="s">
        <v>575</v>
      </c>
      <c r="E163">
        <v>0.75</v>
      </c>
    </row>
    <row r="164" spans="1:5">
      <c r="A164" s="16" t="s">
        <v>576</v>
      </c>
      <c r="B164" s="16">
        <v>1</v>
      </c>
      <c r="D164" s="16" t="s">
        <v>576</v>
      </c>
      <c r="E164">
        <v>0.5</v>
      </c>
    </row>
    <row r="165" spans="1:5">
      <c r="A165" s="16" t="s">
        <v>577</v>
      </c>
      <c r="B165" s="16">
        <v>0</v>
      </c>
      <c r="D165" s="16" t="s">
        <v>577</v>
      </c>
      <c r="E165">
        <v>0</v>
      </c>
    </row>
    <row r="166" spans="1:5">
      <c r="A166" s="16"/>
      <c r="B166" s="16"/>
      <c r="D166" s="16"/>
    </row>
    <row r="167" spans="1:5">
      <c r="A167" s="16"/>
      <c r="B167" s="16" t="s">
        <v>580</v>
      </c>
      <c r="D167" s="16"/>
    </row>
    <row r="168" spans="1:5">
      <c r="A168" s="47" t="s">
        <v>588</v>
      </c>
      <c r="B168" s="16"/>
      <c r="D168" s="47" t="s">
        <v>588</v>
      </c>
      <c r="E168" s="16"/>
    </row>
    <row r="169" spans="1:5">
      <c r="A169" s="16" t="s">
        <v>581</v>
      </c>
      <c r="B169" s="16">
        <v>3</v>
      </c>
      <c r="D169" s="16" t="s">
        <v>581</v>
      </c>
      <c r="E169">
        <v>1.5</v>
      </c>
    </row>
    <row r="170" spans="1:5">
      <c r="A170" s="16" t="s">
        <v>582</v>
      </c>
      <c r="B170" s="16">
        <v>2.5</v>
      </c>
      <c r="D170" s="16" t="s">
        <v>582</v>
      </c>
      <c r="E170">
        <v>1.25</v>
      </c>
    </row>
    <row r="171" spans="1:5">
      <c r="A171" s="16" t="s">
        <v>583</v>
      </c>
      <c r="B171" s="16">
        <v>2</v>
      </c>
      <c r="D171" s="16" t="s">
        <v>583</v>
      </c>
      <c r="E171">
        <v>1</v>
      </c>
    </row>
    <row r="172" spans="1:5">
      <c r="A172" s="16" t="s">
        <v>584</v>
      </c>
      <c r="B172" s="16">
        <v>1.5</v>
      </c>
      <c r="D172" s="16" t="s">
        <v>584</v>
      </c>
      <c r="E172">
        <v>0.75</v>
      </c>
    </row>
    <row r="173" spans="1:5">
      <c r="A173" s="16" t="s">
        <v>585</v>
      </c>
      <c r="B173" s="16">
        <v>1</v>
      </c>
      <c r="D173" s="16" t="s">
        <v>585</v>
      </c>
      <c r="E173">
        <v>0.5</v>
      </c>
    </row>
    <row r="174" spans="1:5">
      <c r="A174" s="16" t="s">
        <v>586</v>
      </c>
      <c r="B174" s="16">
        <v>0.5</v>
      </c>
      <c r="D174" s="16" t="s">
        <v>586</v>
      </c>
      <c r="E174">
        <v>0.25</v>
      </c>
    </row>
    <row r="175" spans="1:5">
      <c r="A175" s="16" t="s">
        <v>587</v>
      </c>
      <c r="B175" s="16">
        <v>0</v>
      </c>
      <c r="D175" s="16" t="s">
        <v>587</v>
      </c>
      <c r="E175">
        <v>0</v>
      </c>
    </row>
    <row r="176" spans="1:5">
      <c r="A176" s="16"/>
      <c r="B176" s="16">
        <v>0</v>
      </c>
      <c r="D176" s="16">
        <v>0</v>
      </c>
      <c r="E176">
        <v>0</v>
      </c>
    </row>
    <row r="177" spans="1:8">
      <c r="A177" s="16"/>
      <c r="B177" s="16"/>
      <c r="D177" s="16"/>
    </row>
    <row r="178" spans="1:8">
      <c r="B178" s="17"/>
    </row>
    <row r="179" spans="1:8">
      <c r="A179" t="s">
        <v>361</v>
      </c>
      <c r="B179" s="17" t="s">
        <v>456</v>
      </c>
      <c r="C179" t="s">
        <v>555</v>
      </c>
      <c r="D179" t="s">
        <v>556</v>
      </c>
      <c r="E179" t="s">
        <v>557</v>
      </c>
      <c r="F179" t="s">
        <v>558</v>
      </c>
      <c r="G179" t="s">
        <v>559</v>
      </c>
    </row>
    <row r="180" spans="1:8">
      <c r="B180" s="17" t="s">
        <v>562</v>
      </c>
      <c r="C180" t="s">
        <v>560</v>
      </c>
      <c r="D180" t="s">
        <v>561</v>
      </c>
      <c r="E180" t="s">
        <v>595</v>
      </c>
    </row>
    <row r="181" spans="1:8">
      <c r="B181" s="17" t="s">
        <v>563</v>
      </c>
      <c r="C181" t="s">
        <v>564</v>
      </c>
      <c r="D181" t="s">
        <v>565</v>
      </c>
      <c r="E181" t="s">
        <v>595</v>
      </c>
    </row>
    <row r="182" spans="1:8">
      <c r="B182" s="17"/>
    </row>
    <row r="183" spans="1:8">
      <c r="A183" t="s">
        <v>238</v>
      </c>
      <c r="B183" s="17" t="e">
        <f ca="1">Utility!E46+Utility!E47+Utility!E48</f>
        <v>#VALUE!</v>
      </c>
    </row>
    <row r="184" spans="1:8">
      <c r="A184" t="s">
        <v>239</v>
      </c>
      <c r="B184" s="17" t="e">
        <f ca="1">IF(AND(ISBLANK(Utility!E45),ISBLANK(Utility!E44)),0,Utility!E45+Utility!E44)</f>
        <v>#VALUE!</v>
      </c>
    </row>
    <row r="185" spans="1:8">
      <c r="B185" s="18">
        <f ca="1">IF(Utility!D6="Municipally Owned Utility",SUM(Utility!E46:E48),IF(Utility!D6="Investor Owned Utility",SUM(Utility!E44:E45)))</f>
        <v>0</v>
      </c>
    </row>
    <row r="186" spans="1:8" ht="21">
      <c r="A186" s="37" t="s">
        <v>359</v>
      </c>
      <c r="B186" s="17"/>
    </row>
    <row r="187" spans="1:8">
      <c r="B187" s="17"/>
    </row>
    <row r="188" spans="1:8">
      <c r="B188" s="17" t="s">
        <v>405</v>
      </c>
    </row>
    <row r="189" spans="1:8">
      <c r="A189" t="s">
        <v>681</v>
      </c>
      <c r="B189" s="17" t="s">
        <v>682</v>
      </c>
      <c r="C189" s="9" t="s">
        <v>680</v>
      </c>
      <c r="D189" t="s">
        <v>683</v>
      </c>
      <c r="E189" t="s">
        <v>684</v>
      </c>
      <c r="F189" t="s">
        <v>685</v>
      </c>
      <c r="G189" t="s">
        <v>686</v>
      </c>
      <c r="H189" t="s">
        <v>688</v>
      </c>
    </row>
    <row r="190" spans="1:8">
      <c r="B190" s="17" t="s">
        <v>690</v>
      </c>
      <c r="C190" s="9" t="s">
        <v>691</v>
      </c>
      <c r="D190" t="s">
        <v>136</v>
      </c>
      <c r="E190" t="s">
        <v>137</v>
      </c>
      <c r="F190" t="s">
        <v>138</v>
      </c>
    </row>
    <row r="191" spans="1:8">
      <c r="B191" s="17" t="s">
        <v>693</v>
      </c>
      <c r="C191" s="9" t="s">
        <v>694</v>
      </c>
      <c r="D191" t="s">
        <v>139</v>
      </c>
      <c r="E191" t="s">
        <v>140</v>
      </c>
      <c r="F191" t="s">
        <v>141</v>
      </c>
    </row>
    <row r="192" spans="1:8">
      <c r="B192" s="17" t="s">
        <v>699</v>
      </c>
      <c r="C192" s="9" t="s">
        <v>700</v>
      </c>
      <c r="D192" t="s">
        <v>701</v>
      </c>
      <c r="E192" t="s">
        <v>702</v>
      </c>
      <c r="F192" t="s">
        <v>703</v>
      </c>
      <c r="G192" t="s">
        <v>704</v>
      </c>
      <c r="H192" t="s">
        <v>705</v>
      </c>
    </row>
    <row r="193" spans="1:8">
      <c r="B193" s="17" t="s">
        <v>707</v>
      </c>
      <c r="C193" s="9" t="s">
        <v>706</v>
      </c>
      <c r="D193" t="s">
        <v>708</v>
      </c>
      <c r="E193" t="s">
        <v>709</v>
      </c>
      <c r="F193" t="s">
        <v>710</v>
      </c>
    </row>
    <row r="194" spans="1:8">
      <c r="B194" s="17"/>
      <c r="C194" s="9"/>
    </row>
    <row r="195" spans="1:8">
      <c r="B195" s="17"/>
      <c r="C195" s="9"/>
    </row>
    <row r="196" spans="1:8">
      <c r="A196" t="s">
        <v>414</v>
      </c>
      <c r="B196" s="17" t="s">
        <v>712</v>
      </c>
      <c r="C196" s="9" t="s">
        <v>713</v>
      </c>
      <c r="D196" t="s">
        <v>714</v>
      </c>
      <c r="E196" t="s">
        <v>715</v>
      </c>
    </row>
    <row r="197" spans="1:8">
      <c r="B197" s="17" t="s">
        <v>717</v>
      </c>
      <c r="C197" s="9" t="s">
        <v>716</v>
      </c>
      <c r="D197" t="s">
        <v>143</v>
      </c>
      <c r="E197" t="s">
        <v>718</v>
      </c>
      <c r="F197" t="s">
        <v>719</v>
      </c>
      <c r="G197" t="s">
        <v>0</v>
      </c>
      <c r="H197" t="s">
        <v>1</v>
      </c>
    </row>
    <row r="198" spans="1:8">
      <c r="B198" s="17"/>
      <c r="C198" s="9"/>
    </row>
    <row r="199" spans="1:8">
      <c r="A199" t="s">
        <v>371</v>
      </c>
      <c r="B199" s="17" t="s">
        <v>8</v>
      </c>
      <c r="C199" s="9" t="s">
        <v>4</v>
      </c>
      <c r="D199" t="s">
        <v>5</v>
      </c>
      <c r="E199" t="s">
        <v>232</v>
      </c>
      <c r="F199" t="s">
        <v>6</v>
      </c>
    </row>
    <row r="200" spans="1:8">
      <c r="B200" s="17" t="s">
        <v>3</v>
      </c>
      <c r="C200" s="9" t="s">
        <v>9</v>
      </c>
      <c r="D200" t="s">
        <v>10</v>
      </c>
      <c r="E200" t="s">
        <v>11</v>
      </c>
      <c r="F200" t="s">
        <v>145</v>
      </c>
    </row>
    <row r="201" spans="1:8">
      <c r="B201" s="17" t="s">
        <v>151</v>
      </c>
      <c r="C201" s="9" t="s">
        <v>152</v>
      </c>
      <c r="D201" t="s">
        <v>153</v>
      </c>
      <c r="E201" t="s">
        <v>154</v>
      </c>
      <c r="F201" t="s">
        <v>155</v>
      </c>
    </row>
    <row r="202" spans="1:8">
      <c r="A202" s="17"/>
      <c r="B202" s="17" t="s">
        <v>14</v>
      </c>
      <c r="C202" s="9" t="s">
        <v>15</v>
      </c>
      <c r="D202" t="s">
        <v>16</v>
      </c>
      <c r="E202" t="s">
        <v>17</v>
      </c>
      <c r="F202" t="s">
        <v>18</v>
      </c>
      <c r="G202" t="s">
        <v>19</v>
      </c>
      <c r="H202" t="s">
        <v>20</v>
      </c>
    </row>
    <row r="203" spans="1:8">
      <c r="A203" s="17"/>
      <c r="B203" s="17" t="s">
        <v>156</v>
      </c>
      <c r="C203" s="9" t="s">
        <v>23</v>
      </c>
      <c r="D203" s="72" t="s">
        <v>157</v>
      </c>
      <c r="E203" s="72" t="s">
        <v>158</v>
      </c>
      <c r="F203" s="72" t="s">
        <v>159</v>
      </c>
      <c r="G203" s="72" t="s">
        <v>160</v>
      </c>
      <c r="H203" s="72" t="s">
        <v>161</v>
      </c>
    </row>
    <row r="204" spans="1:8">
      <c r="B204" s="17"/>
      <c r="C204" s="9"/>
    </row>
    <row r="205" spans="1:8">
      <c r="A205" t="s">
        <v>360</v>
      </c>
      <c r="B205" s="17" t="s">
        <v>25</v>
      </c>
      <c r="C205" s="9" t="s">
        <v>26</v>
      </c>
      <c r="D205">
        <v>3</v>
      </c>
      <c r="E205">
        <v>2</v>
      </c>
      <c r="F205">
        <v>1</v>
      </c>
      <c r="G205">
        <v>0</v>
      </c>
    </row>
    <row r="206" spans="1:8">
      <c r="B206" s="17" t="s">
        <v>30</v>
      </c>
      <c r="C206" s="9" t="s">
        <v>31</v>
      </c>
      <c r="D206" t="s">
        <v>32</v>
      </c>
      <c r="E206" t="s">
        <v>33</v>
      </c>
    </row>
    <row r="207" spans="1:8">
      <c r="B207" s="17" t="s">
        <v>35</v>
      </c>
      <c r="C207" s="9" t="s">
        <v>36</v>
      </c>
      <c r="D207" t="s">
        <v>38</v>
      </c>
      <c r="E207" t="s">
        <v>39</v>
      </c>
    </row>
    <row r="208" spans="1:8">
      <c r="B208" s="17" t="s">
        <v>166</v>
      </c>
      <c r="C208" s="9" t="s">
        <v>167</v>
      </c>
      <c r="D208" t="s">
        <v>168</v>
      </c>
      <c r="E208" t="s">
        <v>170</v>
      </c>
      <c r="F208" t="s">
        <v>169</v>
      </c>
    </row>
    <row r="209" spans="1:6">
      <c r="B209" s="17"/>
      <c r="C209" s="9"/>
    </row>
    <row r="210" spans="1:6">
      <c r="A210">
        <v>3</v>
      </c>
      <c r="B210" s="18">
        <v>1.5</v>
      </c>
      <c r="C210" s="9"/>
    </row>
    <row r="211" spans="1:6">
      <c r="A211">
        <v>2</v>
      </c>
      <c r="B211" s="17">
        <v>1</v>
      </c>
      <c r="C211" s="9"/>
    </row>
    <row r="212" spans="1:6">
      <c r="A212">
        <v>1</v>
      </c>
      <c r="B212" s="18">
        <v>0.5</v>
      </c>
      <c r="C212" s="9"/>
    </row>
    <row r="213" spans="1:6">
      <c r="A213">
        <v>0</v>
      </c>
      <c r="B213" s="17">
        <v>0</v>
      </c>
      <c r="C213" s="9"/>
    </row>
    <row r="214" spans="1:6">
      <c r="B214" s="17"/>
      <c r="C214" s="9"/>
    </row>
    <row r="215" spans="1:6">
      <c r="B215" s="17"/>
      <c r="C215" s="9"/>
    </row>
    <row r="216" spans="1:6">
      <c r="C216" s="9"/>
    </row>
    <row r="217" spans="1:6">
      <c r="A217" t="s">
        <v>361</v>
      </c>
      <c r="B217" s="17" t="s">
        <v>42</v>
      </c>
      <c r="C217" s="9" t="s">
        <v>40</v>
      </c>
      <c r="D217" t="s">
        <v>233</v>
      </c>
      <c r="E217" t="s">
        <v>144</v>
      </c>
      <c r="F217" t="s">
        <v>43</v>
      </c>
    </row>
    <row r="219" spans="1:6" ht="21">
      <c r="A219" s="37" t="s">
        <v>460</v>
      </c>
    </row>
    <row r="220" spans="1:6" ht="15" customHeight="1">
      <c r="A220" s="37"/>
    </row>
    <row r="221" spans="1:6">
      <c r="A221" t="s">
        <v>398</v>
      </c>
      <c r="B221" t="s">
        <v>397</v>
      </c>
    </row>
    <row r="222" spans="1:6">
      <c r="A222" t="e">
        <f>#REF!</f>
        <v>#REF!</v>
      </c>
      <c r="B222" t="s">
        <v>359</v>
      </c>
    </row>
    <row r="223" spans="1:6">
      <c r="A223" t="e">
        <f>#REF!</f>
        <v>#REF!</v>
      </c>
      <c r="B223" t="s">
        <v>395</v>
      </c>
    </row>
    <row r="224" spans="1:6">
      <c r="A224" t="e">
        <f>#REF!</f>
        <v>#REF!</v>
      </c>
      <c r="B224" t="s">
        <v>358</v>
      </c>
    </row>
    <row r="225" spans="1:7">
      <c r="A225" s="17" t="e">
        <f>#REF!</f>
        <v>#REF!</v>
      </c>
      <c r="B225" t="s">
        <v>385</v>
      </c>
    </row>
    <row r="226" spans="1:7">
      <c r="A226" t="e">
        <f>#REF!</f>
        <v>#REF!</v>
      </c>
      <c r="B226" t="s">
        <v>357</v>
      </c>
    </row>
    <row r="229" spans="1:7">
      <c r="A229" t="s">
        <v>351</v>
      </c>
      <c r="B229" t="s">
        <v>394</v>
      </c>
      <c r="C229" t="s">
        <v>385</v>
      </c>
      <c r="D229" t="s">
        <v>395</v>
      </c>
      <c r="E229" t="s">
        <v>396</v>
      </c>
      <c r="F229" t="s">
        <v>358</v>
      </c>
      <c r="G229" t="s">
        <v>359</v>
      </c>
    </row>
    <row r="233" spans="1:7">
      <c r="A233">
        <v>30</v>
      </c>
      <c r="B233" t="s">
        <v>384</v>
      </c>
    </row>
  </sheetData>
  <phoneticPr fontId="43"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6"/>
  <dimension ref="B27:N33"/>
  <sheetViews>
    <sheetView zoomScale="75" zoomScaleNormal="75" workbookViewId="0">
      <selection activeCell="C33" sqref="C33:D33"/>
    </sheetView>
  </sheetViews>
  <sheetFormatPr defaultRowHeight="15"/>
  <cols>
    <col min="1" max="1" width="5" customWidth="1"/>
    <col min="2" max="2" width="65.85546875" customWidth="1"/>
    <col min="3" max="3" width="10.140625" bestFit="1" customWidth="1"/>
    <col min="5" max="5" width="6.85546875" customWidth="1"/>
    <col min="6" max="6" width="19.85546875" bestFit="1" customWidth="1"/>
    <col min="7" max="7" width="11.5703125" bestFit="1" customWidth="1"/>
    <col min="8" max="8" width="13.7109375" bestFit="1" customWidth="1"/>
    <col min="9" max="9" width="12" bestFit="1" customWidth="1"/>
    <col min="10" max="11" width="12.7109375" bestFit="1" customWidth="1"/>
    <col min="12" max="12" width="12.5703125" bestFit="1" customWidth="1"/>
    <col min="13" max="13" width="35.7109375" customWidth="1"/>
    <col min="14" max="14" width="9.85546875" customWidth="1"/>
  </cols>
  <sheetData>
    <row r="27" spans="2:14">
      <c r="B27" s="318" t="s">
        <v>386</v>
      </c>
      <c r="C27" s="318"/>
      <c r="D27" s="318"/>
      <c r="E27" s="318"/>
      <c r="F27" s="318"/>
      <c r="G27" s="318"/>
      <c r="H27" s="318"/>
      <c r="I27" s="318"/>
      <c r="J27" s="318"/>
      <c r="K27" s="318"/>
      <c r="L27" s="318"/>
      <c r="M27" s="318"/>
    </row>
    <row r="28" spans="2:14" ht="15" customHeight="1">
      <c r="B28" s="78"/>
      <c r="C28" s="319" t="s">
        <v>179</v>
      </c>
      <c r="D28" s="319"/>
      <c r="E28" s="13" t="s">
        <v>352</v>
      </c>
      <c r="F28" s="319" t="s">
        <v>213</v>
      </c>
      <c r="G28" s="319"/>
      <c r="H28" s="319"/>
      <c r="I28" s="319"/>
      <c r="J28" s="319"/>
      <c r="K28" s="319"/>
      <c r="L28" s="320" t="s">
        <v>180</v>
      </c>
      <c r="M28" s="320"/>
    </row>
    <row r="29" spans="2:14" ht="122.25" customHeight="1">
      <c r="B29" s="13" t="s">
        <v>247</v>
      </c>
      <c r="C29" s="312" t="e">
        <f ca="1">IF(AND('Detailed Analysis'!D5=0,'Detailed Analysis'!D24=0,'Detailed Analysis'!D35=0,'Detailed Analysis'!D55=0,'Detailed Analysis'!D68=0),"",'Analysis Data 2'!D11)</f>
        <v>#N/A</v>
      </c>
      <c r="D29" s="312"/>
      <c r="E29" s="242" t="e">
        <f ca="1">IF(C29="","",VLOOKUP(C29,'Analysis Data 2'!D4:F8,3,FALSE))</f>
        <v>#N/A</v>
      </c>
      <c r="F29" s="313" t="e">
        <f ca="1">IF(AND('Detailed Analysis'!D5=0,'Detailed Analysis'!D24=0,'Detailed Analysis'!D35=0,'Detailed Analysis'!D55=0,'Detailed Analysis'!D68=0),"","Within "&amp;C29&amp;", "&amp;Intro!D18&amp;" received "&amp;'Analysis Data 2'!D10&amp;" of the points available within the policy area ("&amp;E29&amp;" out of a possible "&amp;VLOOKUP(C29,'Analysis Data 2'!D4:E8,2,FALSE)&amp;" points). Within the policy area, the "&amp;'Analysis Data 2'!D106&amp;" policy step had the lowest scoring percentage.  Programs and policy types to improve your score within this policy step include: "&amp;VLOOKUP('Analysis Data 2'!D106,'Analysis Data 1'!D121:H137,5,FALSE)&amp;".")</f>
        <v>#N/A</v>
      </c>
      <c r="G29" s="314"/>
      <c r="H29" s="314"/>
      <c r="I29" s="314"/>
      <c r="J29" s="314"/>
      <c r="K29" s="315"/>
      <c r="L29" s="316" t="e">
        <f ca="1">IF(F29="","",""&amp;VLOOKUP('Analysis Data 2'!D106,'Peer City Scores'!B3:O90,14,FALSE)&amp;" performed best in the "&amp;'Analysis Data 2'!D106&amp;" policy step in which your community is currently performing the poorest.  "&amp;VLOOKUP('Analysis Data 2'!D106,'Peer City Scores'!B3:O90,14,FALSE)&amp;" received "&amp;VLOOKUP('Analysis Data 2'!D106,'Peer City Scores'!B3:Q115,13,FALSE)&amp;" of the points available within the policy step. [TBD] achieved this score by implementing the following best practices: [TBD].")</f>
        <v>#N/A</v>
      </c>
      <c r="M29" s="317"/>
      <c r="N29" s="119"/>
    </row>
    <row r="30" spans="2:14" ht="108.75" customHeight="1">
      <c r="B30" s="13" t="s">
        <v>181</v>
      </c>
      <c r="C30" s="312" t="e">
        <f ca="1">IF(AND('Detailed Analysis'!D5=0,'Detailed Analysis'!D24=0,'Detailed Analysis'!D35=0,'Detailed Analysis'!D55=0,'Detailed Analysis'!D68=0),"",VLOOKUP('Analysis Data 1'!C12,'Analysis Data 1'!C6:F10,2,FALSE))</f>
        <v>#N/A</v>
      </c>
      <c r="D30" s="312"/>
      <c r="E30" s="242" t="e">
        <f ca="1">IF(C30="","",VLOOKUP(C30,'Detailed Analysis'!B5:D87,3,FALSE))</f>
        <v>#N/A</v>
      </c>
      <c r="F30" s="313" t="e">
        <f ca="1">IF(AND('Detailed Analysis'!D5=0,'Detailed Analysis'!D24=0,'Detailed Analysis'!D35=0,'Detailed Analysis'!D55=0,'Detailed Analysis'!D68=0),"","Within "&amp;C30&amp;", "&amp;Intro!D18&amp;" achieved "&amp;E30&amp;" out of a possible "&amp;VLOOKUP(C30,'Analysis Data 1'!D6:E10,2,FALSE)&amp;" points. The most points were missed in the "&amp;VLOOKUP('Analysis Data 1'!C102,'Analysis Data 1'!C17:F99,2,FALSE)&amp;" policy step. Programs and policy types to improve your score on "&amp;C30&amp;" include: "&amp;VLOOKUP('Analysis Data 1'!D103,'Analysis Data 1'!D121:H137,5,FALSE)&amp;".")</f>
        <v>#N/A</v>
      </c>
      <c r="G30" s="314"/>
      <c r="H30" s="314"/>
      <c r="I30" s="314"/>
      <c r="J30" s="314"/>
      <c r="K30" s="315"/>
      <c r="L30" s="316" t="e">
        <f ca="1">IF(F30="","",""&amp;VLOOKUP('Analysis Data 1'!D103,'Peer City Scores'!B3:Q90,14,FALSE)&amp;" performed the best in the "&amp;'Analysis Data 1'!D103&amp;" policy step in which your community has the most room for improvement. "&amp;VLOOKUP('Analysis Data 1'!D103,'Peer City Scores'!B3:Q89,14,FALSE)&amp;" achieved "&amp;VLOOKUP('Analysis Data 1'!D103,'Peer City Scores'!B3:Q89,11,FALSE)&amp;" points out of a possible "&amp;VLOOKUP('Analysis Data 1'!D103,'Peer City Scores'!B3:Q89,16,FALSE)&amp;" points. [TBD] achieved this score by implementing the following best practices: [TBD].")</f>
        <v>#N/A</v>
      </c>
      <c r="M30" s="317"/>
      <c r="N30" s="119"/>
    </row>
    <row r="31" spans="2:14" ht="124.5" hidden="1" customHeight="1">
      <c r="B31" s="13" t="s">
        <v>183</v>
      </c>
      <c r="C31" s="316" t="e">
        <f ca="1">IF(AND('Detailed Analysis'!D5=0,'Detailed Analysis'!D24=0,'Detailed Analysis'!D35=0,'Detailed Analysis'!D55=0,'Detailed Analysis'!D68=0),"",VLOOKUP('Analysis Data 1'!C14,'Analysis Data 1'!C6:D10,2,FALSE))</f>
        <v>#N/A</v>
      </c>
      <c r="D31" s="317"/>
      <c r="E31" s="242" t="e">
        <f ca="1">IF(C31="","",VLOOKUP(C31,'Detailed Analysis'!B5:D87,3,FALSE))</f>
        <v>#N/A</v>
      </c>
      <c r="F31" s="313" t="e">
        <f ca="1">IF(AND('Detailed Analysis'!D5=0,'Detailed Analysis'!D24=0,'Detailed Analysis'!D35=0,'Detailed Analysis'!D55=0,'Detailed Analysis'!D68=0),"","Within "&amp;C31&amp;", "&amp;Intro!D18&amp;" achieved "&amp;E31&amp;" out of a possible "&amp;VLOOKUP(C31,'Analysis Data 1'!D6:E10,2,FALSE)&amp;" points. The highest score was achieved in the "&amp;'Analysis Data 1'!D107&amp;" policy step.  This high score stems from having the following policy(ies) in place: "&amp;VLOOKUP('Analysis Data 1'!D107,'Analysis Data 1'!D121:H137,5,FALSE)&amp;". Consider taking further action on "&amp;VLOOKUP('Analysis Data 1'!D110,'Analysis Data 1'!D121:H137,5,FALSE)&amp;" to further improve your score.")</f>
        <v>#N/A</v>
      </c>
      <c r="G31" s="314"/>
      <c r="H31" s="314"/>
      <c r="I31" s="314"/>
      <c r="J31" s="314"/>
      <c r="K31" s="315"/>
      <c r="L31" s="321" t="s">
        <v>182</v>
      </c>
      <c r="M31" s="322"/>
      <c r="N31" s="119"/>
    </row>
    <row r="32" spans="2:14" ht="140.25" customHeight="1">
      <c r="B32" s="13" t="s">
        <v>183</v>
      </c>
      <c r="C32" s="316" t="e">
        <f ca="1">IF(AND('Detailed Analysis'!D5=0,'Detailed Analysis'!D24=0,'Detailed Analysis'!D35=0,'Detailed Analysis'!D55=0,'Detailed Analysis'!D68=0),"",VLOOKUP('Analysis Data 2'!C14,'Analysis Data 2'!C4:E8,2,FALSE))</f>
        <v>#N/A</v>
      </c>
      <c r="D32" s="317"/>
      <c r="E32" s="242" t="e">
        <f ca="1">IF(C32="","",VLOOKUP(C32,'Analysis Data 2'!D4:F8,3,FALSE))</f>
        <v>#N/A</v>
      </c>
      <c r="F32" s="313" t="e">
        <f ca="1">IF(AND('Detailed Analysis'!D5=0,'Detailed Analysis'!D24=0,'Detailed Analysis'!D35=0,'Detailed Analysis'!D55=0,'Detailed Analysis'!D68=0),"","Within "&amp;C32&amp;" , "&amp;Intro!D18&amp;" received "&amp;'Analysis Data 2'!C15&amp;" of the points available within the policy area ("&amp;E32&amp;" out of a possible "&amp;VLOOKUP(C32,'Analysis Data 2'!D4:E8,2,FALSE)&amp;" points).  The highest scoring percentage was achieved in the "&amp;'Analysis Data 2'!D110&amp;" policy step.  The high scoring percentage stems from having the following policy(ies) in place: "&amp;VLOOKUP('Analysis Data 1'!D107,'Analysis Data 1'!D121:H137,5,FALSE)&amp;". Consider taking further action on "&amp;VLOOKUP('Analysis Data 2'!D110,'Analysis Data 1'!D121:H137,5,FALSE)&amp;" to further improve your score.")</f>
        <v>#N/A</v>
      </c>
      <c r="G32" s="314"/>
      <c r="H32" s="314"/>
      <c r="I32" s="314"/>
      <c r="J32" s="314"/>
      <c r="K32" s="315"/>
      <c r="L32" s="316" t="e">
        <f ca="1">IF(F32="","",""&amp;VLOOKUP('Analysis Data 1'!D107,'Peer City Scores'!B3:Q89,14,FALSE)&amp;" performed the best in the "&amp;'Analysis Data 1'!D107&amp;" policy step, in which your also performed best. "&amp;VLOOKUP('Analysis Data 1'!D107,'Peer City Scores'!B3:Q89,14,FALSE)&amp;" received "&amp;VLOOKUP('Analysis Data 1'!D107,'Peer City Scores'!B3:Q90,13,FALSE)&amp;" of the points available within the policy area. [TBD] achieved this score by implementing the following best practices: [TBD].")</f>
        <v>#N/A</v>
      </c>
      <c r="M32" s="317"/>
      <c r="N32" s="119"/>
    </row>
    <row r="33" spans="2:14" ht="107.25" customHeight="1">
      <c r="B33" s="24" t="s">
        <v>477</v>
      </c>
      <c r="C33" s="323" t="s">
        <v>469</v>
      </c>
      <c r="D33" s="324"/>
      <c r="E33" s="243" t="e">
        <f ca="1">IF(F33="","",VLOOKUP(C33,'Detailed Analysis'!B5:D87,3,FALSE))</f>
        <v>#N/A</v>
      </c>
      <c r="F33" s="313" t="e">
        <f ca="1">IF(AND('Detailed Analysis'!D5=0,'Detailed Analysis'!D24=0,'Detailed Analysis'!D35=0,'Detailed Analysis'!D55=0,'Detailed Analysis'!D68=0),"","Within "&amp;C33&amp;" "&amp;Intro!D18&amp;" achieved "&amp;VLOOKUP(C33,'Analysis Data 1'!D6:F10,3,FALSE)&amp;" out of a possible "&amp;VLOOKUP(C33,'Analysis Data 1'!D6:F10,2,FALSE)&amp;" points. The worst scores in this policy area were in the "&amp;IF(C33="Local Government Operations",'Analysis Data 1'!G113,IF(C33="Community-Wide Initiatives",'Analysis Data 1'!G114,IF(C33="Buildings Policies",'Analysis Data 1'!G115,IF(C33="Transportation Policies",'Analysis Data 1'!G117,IF(C33="Energy and Water Utility Policies &amp; Public Benefit Programs",'Analysis Data 1'!G116)))))&amp;" policy step. To improve your score consider implementation of "&amp;IF(C33="Local Government Operations",VLOOKUP('Analysis Data 1'!G113,'Analysis Data 1'!D121:H137,5,FALSE),IF(C33="Community-Wide Initiatives",VLOOKUP('Analysis Data 1'!G114,'Analysis Data 1'!D121:H137,5,FALSE),IF(C33="Buildings Policies",VLOOKUP('Analysis Data 1'!G115,'Analysis Data 1'!D121:H137,5,FALSE),IF(C33="Energy and Water Utility Policies &amp; Public Benefit Programs",VLOOKUP('Analysis Data 1'!G116,'Analysis Data 1'!D121:H137,5,FALSE),IF(C33="Transportation Policies",VLOOKUP('Analysis Data 1'!G117,'Analysis Data 1'!D121:H137,5,FALSE)))))))</f>
        <v>#N/A</v>
      </c>
      <c r="G33" s="314"/>
      <c r="H33" s="314"/>
      <c r="I33" s="314"/>
      <c r="J33" s="314"/>
      <c r="K33" s="315"/>
      <c r="L33" s="316" t="e">
        <f ca="1">IF(F33="","","Within the "&amp;C33&amp;" policy area, "&amp;VLOOKUP(C33,'Peer City Scores'!B3:Q88,14,FALSE)&amp;" performed the best.  Consider looking at their best practices to find ways to further improve your community's score. More specifically, [TBD] achieved the best score in this policy sector by implementing the following programs: [TBD].")</f>
        <v>#N/A</v>
      </c>
      <c r="M33" s="317"/>
      <c r="N33" s="119"/>
    </row>
  </sheetData>
  <sheetProtection password="C6D8" sheet="1" objects="1" scenarios="1"/>
  <mergeCells count="19">
    <mergeCell ref="C32:D32"/>
    <mergeCell ref="F32:K32"/>
    <mergeCell ref="L32:M32"/>
    <mergeCell ref="B27:M27"/>
    <mergeCell ref="C28:D28"/>
    <mergeCell ref="F28:K28"/>
    <mergeCell ref="L28:M28"/>
    <mergeCell ref="F33:K33"/>
    <mergeCell ref="L33:M33"/>
    <mergeCell ref="C31:D31"/>
    <mergeCell ref="F31:K31"/>
    <mergeCell ref="L31:M31"/>
    <mergeCell ref="C33:D33"/>
    <mergeCell ref="C30:D30"/>
    <mergeCell ref="F30:K30"/>
    <mergeCell ref="L30:M30"/>
    <mergeCell ref="C29:D29"/>
    <mergeCell ref="F29:K29"/>
    <mergeCell ref="L29:M29"/>
  </mergeCells>
  <phoneticPr fontId="43"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8"/>
  <dimension ref="B2:H137"/>
  <sheetViews>
    <sheetView topLeftCell="A10" workbookViewId="0">
      <selection activeCell="D19" sqref="D19"/>
    </sheetView>
  </sheetViews>
  <sheetFormatPr defaultRowHeight="15"/>
  <cols>
    <col min="2" max="2" width="12.140625" customWidth="1"/>
    <col min="4" max="4" width="68.140625" bestFit="1" customWidth="1"/>
    <col min="9" max="9" width="10.42578125" bestFit="1" customWidth="1"/>
    <col min="10" max="10" width="68.140625" bestFit="1" customWidth="1"/>
    <col min="13" max="13" width="54.7109375" bestFit="1" customWidth="1"/>
    <col min="14" max="14" width="10" bestFit="1" customWidth="1"/>
    <col min="15" max="15" width="10.7109375" customWidth="1"/>
    <col min="18" max="18" width="10.42578125" bestFit="1" customWidth="1"/>
    <col min="19" max="19" width="24.140625" bestFit="1" customWidth="1"/>
  </cols>
  <sheetData>
    <row r="2" spans="2:6" ht="18.75">
      <c r="C2" s="325" t="s">
        <v>243</v>
      </c>
      <c r="D2" s="325"/>
      <c r="E2" s="325"/>
      <c r="F2" s="325"/>
    </row>
    <row r="4" spans="2:6">
      <c r="C4" s="9" t="s">
        <v>197</v>
      </c>
    </row>
    <row r="5" spans="2:6">
      <c r="C5" t="s">
        <v>184</v>
      </c>
      <c r="E5" t="s">
        <v>355</v>
      </c>
      <c r="F5" t="s">
        <v>668</v>
      </c>
    </row>
    <row r="6" spans="2:6">
      <c r="C6" s="79">
        <f>F6-E6</f>
        <v>-13.5</v>
      </c>
      <c r="D6" s="79" t="str">
        <f ca="1">'Detailed Analysis'!B5</f>
        <v>Local Government Operations</v>
      </c>
      <c r="E6" s="79">
        <f ca="1">'Detailed Analysis'!C5</f>
        <v>15</v>
      </c>
      <c r="F6" s="79">
        <f ca="1">'Detailed Analysis'!D5</f>
        <v>1.5</v>
      </c>
    </row>
    <row r="7" spans="2:6">
      <c r="C7" s="79">
        <f>F7-E7</f>
        <v>-7.5</v>
      </c>
      <c r="D7" s="79" t="str">
        <f ca="1">'Detailed Analysis'!B24</f>
        <v>Community-Wide Initiatives</v>
      </c>
      <c r="E7" s="79">
        <f ca="1">'Detailed Analysis'!C24</f>
        <v>10</v>
      </c>
      <c r="F7" s="79">
        <f ca="1">'Detailed Analysis'!D24</f>
        <v>2.5</v>
      </c>
    </row>
    <row r="8" spans="2:6">
      <c r="C8" s="79" t="e">
        <f>F8-E8</f>
        <v>#N/A</v>
      </c>
      <c r="D8" s="79" t="str">
        <f ca="1">'Detailed Analysis'!B35</f>
        <v>Buildings Policies</v>
      </c>
      <c r="E8" s="79">
        <f ca="1">'Detailed Analysis'!C35</f>
        <v>29</v>
      </c>
      <c r="F8" s="79" t="e">
        <f ca="1">'Detailed Analysis'!D35</f>
        <v>#N/A</v>
      </c>
    </row>
    <row r="9" spans="2:6">
      <c r="C9" s="79" t="e">
        <f>F9-E9</f>
        <v>#VALUE!</v>
      </c>
      <c r="D9" s="79" t="str">
        <f ca="1">'Detailed Analysis'!B55</f>
        <v>Energy and Water Utility Policies &amp; Public Benefit Programs</v>
      </c>
      <c r="E9" s="79">
        <f ca="1">'Detailed Analysis'!C55</f>
        <v>18</v>
      </c>
      <c r="F9" s="79" t="e">
        <f ca="1">'Detailed Analysis'!D55</f>
        <v>#VALUE!</v>
      </c>
    </row>
    <row r="10" spans="2:6">
      <c r="C10" s="79" t="e">
        <f>F10-E10</f>
        <v>#VALUE!</v>
      </c>
      <c r="D10" s="79" t="str">
        <f ca="1">'Detailed Analysis'!B68</f>
        <v>Transportation Policies</v>
      </c>
      <c r="E10" s="79">
        <f ca="1">'Detailed Analysis'!C68</f>
        <v>28</v>
      </c>
      <c r="F10" s="79" t="e">
        <f ca="1">'Detailed Analysis'!D68</f>
        <v>#VALUE!</v>
      </c>
    </row>
    <row r="12" spans="2:6">
      <c r="B12" s="80" t="s">
        <v>198</v>
      </c>
      <c r="C12" s="81" t="e">
        <f>MIN(C6:C10)</f>
        <v>#N/A</v>
      </c>
      <c r="D12" s="82" t="s">
        <v>199</v>
      </c>
    </row>
    <row r="13" spans="2:6">
      <c r="C13" s="81"/>
      <c r="D13" s="69"/>
    </row>
    <row r="14" spans="2:6">
      <c r="B14" s="80" t="s">
        <v>183</v>
      </c>
      <c r="C14" t="e">
        <f>MAX(C6:C10)</f>
        <v>#N/A</v>
      </c>
      <c r="D14" s="82" t="s">
        <v>200</v>
      </c>
    </row>
    <row r="16" spans="2:6">
      <c r="C16" s="9" t="s">
        <v>201</v>
      </c>
    </row>
    <row r="17" spans="3:6">
      <c r="C17" s="79">
        <f>F17-E17</f>
        <v>-13.5</v>
      </c>
      <c r="D17" s="79" t="str">
        <f ca="1">'Detailed Analysis'!B5</f>
        <v>Local Government Operations</v>
      </c>
      <c r="E17" s="79">
        <f ca="1">'Detailed Analysis'!C5</f>
        <v>15</v>
      </c>
      <c r="F17" s="79">
        <f ca="1">'Detailed Analysis'!D5</f>
        <v>1.5</v>
      </c>
    </row>
    <row r="18" spans="3:6">
      <c r="C18" s="34">
        <f>F18-E18</f>
        <v>-3.5</v>
      </c>
      <c r="D18" s="34" t="str">
        <f ca="1">'Detailed Analysis'!B6</f>
        <v>Initial Energy Management Policies for Government Operations</v>
      </c>
      <c r="E18" s="34">
        <f ca="1">'Detailed Analysis'!C6</f>
        <v>4</v>
      </c>
      <c r="F18" s="34">
        <f ca="1">'Detailed Analysis'!D6</f>
        <v>0.5</v>
      </c>
    </row>
    <row r="19" spans="3:6">
      <c r="D19" s="81" t="str">
        <f ca="1">'Detailed Analysis'!B7</f>
        <v>Dedicated Staff</v>
      </c>
      <c r="E19" s="81">
        <f ca="1">'Detailed Analysis'!C7</f>
        <v>0.5</v>
      </c>
      <c r="F19" s="81" t="str">
        <f ca="1">'Detailed Analysis'!D7</f>
        <v/>
      </c>
    </row>
    <row r="20" spans="3:6">
      <c r="D20" s="81" t="str">
        <f ca="1">'Detailed Analysis'!B8</f>
        <v>Public Lighting</v>
      </c>
      <c r="E20" s="81">
        <f ca="1">'Detailed Analysis'!C8</f>
        <v>1</v>
      </c>
      <c r="F20" s="81" t="str">
        <f ca="1">'Detailed Analysis'!D8</f>
        <v/>
      </c>
    </row>
    <row r="21" spans="3:6">
      <c r="D21" s="81" t="str">
        <f ca="1">'Detailed Analysis'!B9</f>
        <v>Energy-Efficient Procurement Policy</v>
      </c>
      <c r="E21" s="81">
        <f ca="1">'Detailed Analysis'!C9</f>
        <v>0.5</v>
      </c>
      <c r="F21" s="81">
        <f ca="1">'Detailed Analysis'!D9</f>
        <v>0.5</v>
      </c>
    </row>
    <row r="22" spans="3:6">
      <c r="D22" s="81" t="str">
        <f ca="1">'Detailed Analysis'!B10</f>
        <v>Maintenance in Capital Budget</v>
      </c>
      <c r="E22" s="81">
        <f ca="1">'Detailed Analysis'!C10</f>
        <v>1</v>
      </c>
      <c r="F22" s="81">
        <f ca="1">'Detailed Analysis'!D10</f>
        <v>0</v>
      </c>
    </row>
    <row r="23" spans="3:6">
      <c r="D23" s="81" t="str">
        <f ca="1">'Detailed Analysis'!B11</f>
        <v>Public Workforce</v>
      </c>
      <c r="E23" s="81">
        <f ca="1">'Detailed Analysis'!C11</f>
        <v>1</v>
      </c>
      <c r="F23" s="81" t="str">
        <f ca="1">'Detailed Analysis'!D11</f>
        <v/>
      </c>
    </row>
    <row r="24" spans="3:6">
      <c r="C24" s="34">
        <f>F24-E24</f>
        <v>-2</v>
      </c>
      <c r="D24" s="34" t="str">
        <f ca="1">'Detailed Analysis'!B12</f>
        <v>Transparent Government Energy Usage</v>
      </c>
      <c r="E24" s="34">
        <f ca="1">'Detailed Analysis'!C12</f>
        <v>2</v>
      </c>
      <c r="F24" s="34">
        <f ca="1">'Detailed Analysis'!D12</f>
        <v>0</v>
      </c>
    </row>
    <row r="25" spans="3:6">
      <c r="D25" s="81" t="str">
        <f ca="1">'Detailed Analysis'!B13</f>
        <v>Performance Management and Reporting</v>
      </c>
      <c r="E25" s="81">
        <f ca="1">'Detailed Analysis'!C13</f>
        <v>1</v>
      </c>
      <c r="F25" s="81" t="str">
        <f ca="1">'Detailed Analysis'!D13</f>
        <v/>
      </c>
    </row>
    <row r="26" spans="3:6">
      <c r="D26" s="81" t="str">
        <f ca="1">'Detailed Analysis'!B14</f>
        <v>Building Benchmarking</v>
      </c>
      <c r="E26" s="81">
        <f ca="1">'Detailed Analysis'!C14</f>
        <v>1</v>
      </c>
      <c r="F26" s="81">
        <f ca="1">'Detailed Analysis'!D14</f>
        <v>0</v>
      </c>
    </row>
    <row r="27" spans="3:6">
      <c r="C27" s="34">
        <f>F27-E27</f>
        <v>-8</v>
      </c>
      <c r="D27" s="34" t="str">
        <f ca="1">'Detailed Analysis'!B15</f>
        <v>Comprehensive Energy Management Strategy for Government Operations</v>
      </c>
      <c r="E27" s="34">
        <f ca="1">'Detailed Analysis'!C15</f>
        <v>9</v>
      </c>
      <c r="F27" s="34">
        <f ca="1">'Detailed Analysis'!D15</f>
        <v>1</v>
      </c>
    </row>
    <row r="28" spans="3:6">
      <c r="D28" s="81" t="str">
        <f ca="1">'Detailed Analysis'!B16</f>
        <v>Local Government Energy Efficiency Targets</v>
      </c>
      <c r="E28" s="81">
        <f ca="1">'Detailed Analysis'!C16</f>
        <v>2</v>
      </c>
      <c r="F28" s="81">
        <f ca="1">'Detailed Analysis'!D16</f>
        <v>1</v>
      </c>
    </row>
    <row r="29" spans="3:6">
      <c r="D29" s="81" t="str">
        <f ca="1">'Detailed Analysis'!B17</f>
        <v>Progress Towards Efficiency Goals</v>
      </c>
      <c r="E29" s="81">
        <f ca="1">'Detailed Analysis'!C17</f>
        <v>1.5</v>
      </c>
      <c r="F29" s="81" t="str">
        <f ca="1">'Detailed Analysis'!D17</f>
        <v/>
      </c>
    </row>
    <row r="30" spans="3:6">
      <c r="D30" s="81" t="str">
        <f ca="1">'Detailed Analysis'!B18</f>
        <v>Third Party EM&amp;V</v>
      </c>
      <c r="E30" s="81">
        <f ca="1">'Detailed Analysis'!C18</f>
        <v>0.5</v>
      </c>
      <c r="F30" s="81">
        <f ca="1">'Detailed Analysis'!D18</f>
        <v>0</v>
      </c>
    </row>
    <row r="31" spans="3:6">
      <c r="D31" s="81" t="str">
        <f ca="1">'Detailed Analysis'!B19</f>
        <v>Departmental/Staff Incentives</v>
      </c>
      <c r="E31" s="81">
        <f ca="1">'Detailed Analysis'!C19</f>
        <v>0.5</v>
      </c>
      <c r="F31" s="81" t="str">
        <f ca="1">'Detailed Analysis'!D19</f>
        <v/>
      </c>
    </row>
    <row r="32" spans="3:6">
      <c r="D32" s="81" t="str">
        <f ca="1">'Detailed Analysis'!B20</f>
        <v>Fleet Efficiency and Vehicle Infrastructure</v>
      </c>
      <c r="E32" s="81">
        <f ca="1">'Detailed Analysis'!C20</f>
        <v>2</v>
      </c>
      <c r="F32" s="81" t="str">
        <f ca="1">'Detailed Analysis'!D20</f>
        <v/>
      </c>
    </row>
    <row r="33" spans="3:6">
      <c r="D33" s="81" t="str">
        <f ca="1">'Detailed Analysis'!B21</f>
        <v>Above Code Requirements for Public Buildings</v>
      </c>
      <c r="E33" s="81">
        <f ca="1">'Detailed Analysis'!C21</f>
        <v>0.5</v>
      </c>
      <c r="F33" s="81" t="str">
        <f ca="1">'Detailed Analysis'!D21</f>
        <v/>
      </c>
    </row>
    <row r="34" spans="3:6">
      <c r="D34" s="81" t="str">
        <f ca="1">'Detailed Analysis'!B22</f>
        <v>Comprehensive Retrofit Strategy</v>
      </c>
      <c r="E34" s="81">
        <f ca="1">'Detailed Analysis'!C22</f>
        <v>1</v>
      </c>
      <c r="F34" s="81" t="str">
        <f ca="1">'Detailed Analysis'!D22</f>
        <v/>
      </c>
    </row>
    <row r="35" spans="3:6">
      <c r="D35" s="81" t="str">
        <f ca="1">'Detailed Analysis'!B23</f>
        <v>Fix-It-First or Lifecycle Cost Policy</v>
      </c>
      <c r="E35" s="81">
        <f ca="1">'Detailed Analysis'!C23</f>
        <v>1</v>
      </c>
      <c r="F35" s="81">
        <f ca="1">'Detailed Analysis'!D23</f>
        <v>0</v>
      </c>
    </row>
    <row r="36" spans="3:6">
      <c r="C36" s="79">
        <f>F36-E36</f>
        <v>-7.5</v>
      </c>
      <c r="D36" s="79" t="str">
        <f ca="1">'Detailed Analysis'!B24</f>
        <v>Community-Wide Initiatives</v>
      </c>
      <c r="E36" s="79">
        <f ca="1">'Detailed Analysis'!C24</f>
        <v>10</v>
      </c>
      <c r="F36" s="79">
        <f ca="1">'Detailed Analysis'!D24</f>
        <v>2.5</v>
      </c>
    </row>
    <row r="37" spans="3:6">
      <c r="C37" s="34">
        <f>F37-E37</f>
        <v>-1.5</v>
      </c>
      <c r="D37" s="34" t="str">
        <f ca="1">'Detailed Analysis'!B25</f>
        <v>Getting Started on Community-Wide Energy Efficiency</v>
      </c>
      <c r="E37" s="34">
        <f ca="1">'Detailed Analysis'!C25</f>
        <v>1.5</v>
      </c>
      <c r="F37" s="34">
        <f ca="1">'Detailed Analysis'!D25</f>
        <v>0</v>
      </c>
    </row>
    <row r="38" spans="3:6">
      <c r="D38" s="81" t="str">
        <f ca="1">'Detailed Analysis'!B26</f>
        <v>Dedicated Staff</v>
      </c>
      <c r="E38" s="81">
        <f ca="1">'Detailed Analysis'!C26</f>
        <v>0.5</v>
      </c>
      <c r="F38" s="81" t="str">
        <f ca="1">'Detailed Analysis'!D26</f>
        <v/>
      </c>
    </row>
    <row r="39" spans="3:6">
      <c r="D39" s="81" t="str">
        <f ca="1">'Detailed Analysis'!B27</f>
        <v xml:space="preserve"> Urban Heat Island Effect Mitigation Programs</v>
      </c>
      <c r="E39" s="81">
        <f ca="1">'Detailed Analysis'!C27</f>
        <v>1</v>
      </c>
      <c r="F39" s="81" t="str">
        <f ca="1">'Detailed Analysis'!D27</f>
        <v/>
      </c>
    </row>
    <row r="40" spans="3:6">
      <c r="C40" s="34">
        <f>F40-E40</f>
        <v>-0.5</v>
      </c>
      <c r="D40" s="34" t="str">
        <f ca="1">'Detailed Analysis'!B28</f>
        <v>Informing the Community</v>
      </c>
      <c r="E40" s="34">
        <f ca="1">'Detailed Analysis'!C28</f>
        <v>0.5</v>
      </c>
      <c r="F40" s="34">
        <f ca="1">'Detailed Analysis'!D28</f>
        <v>0</v>
      </c>
    </row>
    <row r="41" spans="3:6">
      <c r="D41" s="81" t="str">
        <f ca="1">'Detailed Analysis'!B29</f>
        <v>Annual Public Reporting</v>
      </c>
      <c r="E41" s="81">
        <f ca="1">'Detailed Analysis'!C29</f>
        <v>0.5</v>
      </c>
      <c r="F41" s="81" t="str">
        <f ca="1">'Detailed Analysis'!D29</f>
        <v/>
      </c>
    </row>
    <row r="42" spans="3:6">
      <c r="C42" s="34">
        <f>F42-E42</f>
        <v>-5.5</v>
      </c>
      <c r="D42" s="34" t="str">
        <f ca="1">'Detailed Analysis'!B30</f>
        <v>Comprehensive Community-Wide Energy Management Strategy</v>
      </c>
      <c r="E42" s="34">
        <f ca="1">'Detailed Analysis'!C30</f>
        <v>8</v>
      </c>
      <c r="F42" s="34">
        <f ca="1">'Detailed Analysis'!D30</f>
        <v>2.5</v>
      </c>
    </row>
    <row r="43" spans="3:6">
      <c r="D43" s="81" t="str">
        <f ca="1">'Detailed Analysis'!B31</f>
        <v>Community-Wide Energy Efficiency Targets</v>
      </c>
      <c r="E43" s="81">
        <f ca="1">'Detailed Analysis'!C31</f>
        <v>2</v>
      </c>
      <c r="F43" s="81">
        <f ca="1">'Detailed Analysis'!D31</f>
        <v>2</v>
      </c>
    </row>
    <row r="44" spans="3:6">
      <c r="D44" s="81" t="str">
        <f ca="1">'Detailed Analysis'!B32</f>
        <v>Performance Management Strategies</v>
      </c>
      <c r="E44" s="81">
        <f ca="1">'Detailed Analysis'!C32</f>
        <v>2</v>
      </c>
      <c r="F44" s="81">
        <f ca="1">'Detailed Analysis'!D32</f>
        <v>0.5</v>
      </c>
    </row>
    <row r="45" spans="3:6">
      <c r="D45" s="81" t="str">
        <f ca="1">'Detailed Analysis'!B33</f>
        <v>Efficient Distributed Energy Systems</v>
      </c>
      <c r="E45" s="81">
        <f ca="1">'Detailed Analysis'!C33</f>
        <v>3</v>
      </c>
      <c r="F45" s="81" t="str">
        <f ca="1">'Detailed Analysis'!D33</f>
        <v/>
      </c>
    </row>
    <row r="46" spans="3:6">
      <c r="D46" s="81" t="str">
        <f ca="1">'Detailed Analysis'!B34</f>
        <v>Urban Heat Island Effect Mitigation Policies</v>
      </c>
      <c r="E46" s="81">
        <f ca="1">'Detailed Analysis'!C34</f>
        <v>1</v>
      </c>
      <c r="F46" s="81">
        <f ca="1">'Detailed Analysis'!D34</f>
        <v>0</v>
      </c>
    </row>
    <row r="47" spans="3:6">
      <c r="C47" s="79" t="e">
        <f>F47-E47</f>
        <v>#N/A</v>
      </c>
      <c r="D47" s="79" t="str">
        <f ca="1">'Detailed Analysis'!B35</f>
        <v>Buildings Policies</v>
      </c>
      <c r="E47" s="79">
        <f ca="1">'Detailed Analysis'!C35</f>
        <v>29</v>
      </c>
      <c r="F47" s="79" t="e">
        <f ca="1">'Detailed Analysis'!D35</f>
        <v>#N/A</v>
      </c>
    </row>
    <row r="48" spans="3:6">
      <c r="C48" s="34">
        <f>F48-E48</f>
        <v>-5</v>
      </c>
      <c r="D48" s="34" t="str">
        <f ca="1">'Detailed Analysis'!B36</f>
        <v>Building Energy Codes</v>
      </c>
      <c r="E48" s="34">
        <f ca="1">'Detailed Analysis'!C36</f>
        <v>5</v>
      </c>
      <c r="F48" s="34">
        <f ca="1">'Detailed Analysis'!D36</f>
        <v>0</v>
      </c>
    </row>
    <row r="49" spans="3:6">
      <c r="D49" s="81" t="str">
        <f ca="1">'Detailed Analysis'!B37</f>
        <v xml:space="preserve">Residential Energy Code </v>
      </c>
      <c r="E49" s="81">
        <f ca="1">'Detailed Analysis'!C37</f>
        <v>1.5</v>
      </c>
      <c r="F49" s="81" t="b">
        <f ca="1">'Detailed Analysis'!D37</f>
        <v>0</v>
      </c>
    </row>
    <row r="50" spans="3:6">
      <c r="D50" s="81" t="str">
        <f ca="1">'Detailed Analysis'!B38</f>
        <v xml:space="preserve">Commercial Energy Code </v>
      </c>
      <c r="E50" s="81">
        <f ca="1">'Detailed Analysis'!C38</f>
        <v>1.5</v>
      </c>
      <c r="F50" s="81" t="b">
        <f ca="1">'Detailed Analysis'!D38</f>
        <v>0</v>
      </c>
    </row>
    <row r="51" spans="3:6">
      <c r="D51" s="81" t="str">
        <f ca="1">'Detailed Analysis'!B39</f>
        <v xml:space="preserve">Spending on Compliance </v>
      </c>
      <c r="E51" s="81">
        <f ca="1">'Detailed Analysis'!C39</f>
        <v>2</v>
      </c>
      <c r="F51" s="81" t="str">
        <f ca="1">'Detailed Analysis'!D39</f>
        <v/>
      </c>
    </row>
    <row r="52" spans="3:6">
      <c r="C52" s="34">
        <f>F52-E52</f>
        <v>-9</v>
      </c>
      <c r="D52" s="34" t="str">
        <f ca="1">'Detailed Analysis'!B40</f>
        <v>Improving Access to Energy Usage Information</v>
      </c>
      <c r="E52" s="34">
        <f ca="1">'Detailed Analysis'!C40</f>
        <v>9</v>
      </c>
      <c r="F52" s="34">
        <f ca="1">'Detailed Analysis'!D40</f>
        <v>0</v>
      </c>
    </row>
    <row r="53" spans="3:6">
      <c r="D53" s="81" t="str">
        <f ca="1">'Detailed Analysis'!B41</f>
        <v>Upfront Code Support</v>
      </c>
      <c r="E53" s="81">
        <f ca="1">'Detailed Analysis'!C41</f>
        <v>2</v>
      </c>
      <c r="F53" s="81" t="str">
        <f ca="1">'Detailed Analysis'!D41</f>
        <v/>
      </c>
    </row>
    <row r="54" spans="3:6">
      <c r="D54" s="81" t="str">
        <f ca="1">'Detailed Analysis'!B42</f>
        <v>Energy Audit  Requirements</v>
      </c>
      <c r="E54" s="81">
        <f ca="1">'Detailed Analysis'!C42</f>
        <v>1</v>
      </c>
      <c r="F54" s="81">
        <f ca="1">'Detailed Analysis'!D42</f>
        <v>0</v>
      </c>
    </row>
    <row r="55" spans="3:6">
      <c r="D55" s="81" t="str">
        <f ca="1">'Detailed Analysis'!B43</f>
        <v>Commercial Benchmarking and Disclosure Policies</v>
      </c>
      <c r="E55" s="81">
        <f ca="1">'Detailed Analysis'!C43</f>
        <v>3</v>
      </c>
      <c r="F55" s="81">
        <f ca="1">'Detailed Analysis'!D43</f>
        <v>0</v>
      </c>
    </row>
    <row r="56" spans="3:6">
      <c r="D56" s="81" t="str">
        <f ca="1">'Detailed Analysis'!B44</f>
        <v>Residential Benchmarking, Rating, and Disclosure Policies</v>
      </c>
      <c r="E56" s="81">
        <f ca="1">'Detailed Analysis'!C44</f>
        <v>3</v>
      </c>
      <c r="F56" s="81">
        <f ca="1">'Detailed Analysis'!D44</f>
        <v>0</v>
      </c>
    </row>
    <row r="57" spans="3:6">
      <c r="C57" s="34">
        <f>F57-E57</f>
        <v>-6</v>
      </c>
      <c r="D57" s="34" t="str">
        <f ca="1">'Detailed Analysis'!B45</f>
        <v>Comprehensive Energy Management Strategy in Buildings</v>
      </c>
      <c r="E57" s="34">
        <f ca="1">'Detailed Analysis'!C45</f>
        <v>6</v>
      </c>
      <c r="F57" s="34">
        <f ca="1">'Detailed Analysis'!D45</f>
        <v>0</v>
      </c>
    </row>
    <row r="58" spans="3:6">
      <c r="D58" s="81" t="str">
        <f ca="1">'Detailed Analysis'!B46</f>
        <v>Community Building Energy Savings Target</v>
      </c>
      <c r="E58" s="81">
        <f ca="1">'Detailed Analysis'!C46</f>
        <v>1</v>
      </c>
      <c r="F58" s="81">
        <f ca="1">'Detailed Analysis'!D46</f>
        <v>0</v>
      </c>
    </row>
    <row r="59" spans="3:6">
      <c r="D59" s="81" t="str">
        <f ca="1">'Detailed Analysis'!B47</f>
        <v>Residential Energy Code Advocacy</v>
      </c>
      <c r="E59" s="81">
        <f ca="1">'Detailed Analysis'!C47</f>
        <v>1.5</v>
      </c>
      <c r="F59" s="81">
        <f ca="1">'Detailed Analysis'!D47</f>
        <v>0</v>
      </c>
    </row>
    <row r="60" spans="3:6">
      <c r="D60" s="81" t="str">
        <f ca="1">'Detailed Analysis'!B48</f>
        <v>Commercial Energy Code Advocacy</v>
      </c>
      <c r="E60" s="81">
        <f ca="1">'Detailed Analysis'!C48</f>
        <v>1.5</v>
      </c>
      <c r="F60" s="81">
        <f ca="1">'Detailed Analysis'!D48</f>
        <v>0</v>
      </c>
    </row>
    <row r="61" spans="3:6">
      <c r="D61" s="81" t="str">
        <f ca="1">'Detailed Analysis'!B49</f>
        <v>Third-Party Compliance Programs</v>
      </c>
      <c r="E61" s="81">
        <f ca="1">'Detailed Analysis'!C49</f>
        <v>2</v>
      </c>
      <c r="F61" s="81">
        <f ca="1">'Detailed Analysis'!D49</f>
        <v>0</v>
      </c>
    </row>
    <row r="62" spans="3:6">
      <c r="C62" s="34" t="e">
        <f>F62-E62</f>
        <v>#N/A</v>
      </c>
      <c r="D62" s="34" t="str">
        <f ca="1">'Detailed Analysis'!B50</f>
        <v>Incentives for More Efficient Buildings</v>
      </c>
      <c r="E62" s="34">
        <f ca="1">'Detailed Analysis'!C50</f>
        <v>9</v>
      </c>
      <c r="F62" s="34" t="e">
        <f ca="1">'Detailed Analysis'!D50</f>
        <v>#N/A</v>
      </c>
    </row>
    <row r="63" spans="3:6">
      <c r="D63" s="81" t="str">
        <f ca="1">'Detailed Analysis'!B51</f>
        <v>Incentives or Finance Programs</v>
      </c>
      <c r="E63" s="81">
        <f ca="1">'Detailed Analysis'!C51</f>
        <v>3</v>
      </c>
      <c r="F63" s="81" t="e">
        <f ca="1">'Detailed Analysis'!D51</f>
        <v>#N/A</v>
      </c>
    </row>
    <row r="64" spans="3:6">
      <c r="D64" s="81" t="str">
        <f ca="1">'Detailed Analysis'!B52</f>
        <v>Comprehensive Efficiency Services</v>
      </c>
      <c r="E64" s="81">
        <f ca="1">'Detailed Analysis'!C52</f>
        <v>2</v>
      </c>
      <c r="F64" s="81">
        <f ca="1">'Detailed Analysis'!D52</f>
        <v>2</v>
      </c>
    </row>
    <row r="65" spans="3:6">
      <c r="D65" s="81" t="str">
        <f ca="1">'Detailed Analysis'!B53</f>
        <v>Above Code Requirements for Certain Private Buildings</v>
      </c>
      <c r="E65" s="81">
        <f ca="1">'Detailed Analysis'!C53</f>
        <v>2</v>
      </c>
      <c r="F65" s="81" t="str">
        <f ca="1">'Detailed Analysis'!D53</f>
        <v/>
      </c>
    </row>
    <row r="66" spans="3:6">
      <c r="D66" s="81" t="str">
        <f ca="1">'Detailed Analysis'!B54</f>
        <v>Retrofit Requirements</v>
      </c>
      <c r="E66" s="81">
        <f ca="1">'Detailed Analysis'!C54</f>
        <v>2</v>
      </c>
      <c r="F66" s="81">
        <f ca="1">'Detailed Analysis'!D54</f>
        <v>0</v>
      </c>
    </row>
    <row r="67" spans="3:6">
      <c r="C67" s="79" t="e">
        <f>F67-E67</f>
        <v>#VALUE!</v>
      </c>
      <c r="D67" s="79" t="str">
        <f ca="1">'Detailed Analysis'!B55</f>
        <v>Energy and Water Utility Policies &amp; Public Benefit Programs</v>
      </c>
      <c r="E67" s="79">
        <f ca="1">'Detailed Analysis'!C55</f>
        <v>18</v>
      </c>
      <c r="F67" s="79" t="e">
        <f ca="1">'Detailed Analysis'!D55</f>
        <v>#VALUE!</v>
      </c>
    </row>
    <row r="68" spans="3:6">
      <c r="C68" s="34" t="e">
        <f>F68-E68</f>
        <v>#VALUE!</v>
      </c>
      <c r="D68" s="34" t="str">
        <f ca="1">'Detailed Analysis'!B56</f>
        <v>Getting Started Through Incentives</v>
      </c>
      <c r="E68" s="34">
        <f ca="1">'Detailed Analysis'!C56</f>
        <v>9.5</v>
      </c>
      <c r="F68" s="34" t="e">
        <f ca="1">'Detailed Analysis'!D56</f>
        <v>#VALUE!</v>
      </c>
    </row>
    <row r="69" spans="3:6">
      <c r="D69" s="81" t="str">
        <f ca="1">'Detailed Analysis'!B57</f>
        <v xml:space="preserve">Electric Efficiency Spending </v>
      </c>
      <c r="E69" s="81">
        <f ca="1">'Detailed Analysis'!C57</f>
        <v>4</v>
      </c>
      <c r="F69" s="81">
        <f ca="1">'Detailed Analysis'!D57</f>
        <v>2.5</v>
      </c>
    </row>
    <row r="70" spans="3:6">
      <c r="D70" s="81" t="str">
        <f ca="1">'Detailed Analysis'!B58</f>
        <v>Natural Gas Efficiency Spending</v>
      </c>
      <c r="E70" s="81">
        <f ca="1">'Detailed Analysis'!C58</f>
        <v>3</v>
      </c>
      <c r="F70" s="81" t="e">
        <f ca="1">'Detailed Analysis'!D58</f>
        <v>#VALUE!</v>
      </c>
    </row>
    <row r="71" spans="3:6">
      <c r="D71" s="81" t="str">
        <f ca="1">'Detailed Analysis'!B59</f>
        <v xml:space="preserve">Electric Savings </v>
      </c>
      <c r="E71" s="81">
        <f ca="1">'Detailed Analysis'!C59</f>
        <v>2</v>
      </c>
      <c r="F71" s="81">
        <f ca="1">'Detailed Analysis'!D59</f>
        <v>2</v>
      </c>
    </row>
    <row r="72" spans="3:6">
      <c r="D72" s="81" t="str">
        <f ca="1">'Detailed Analysis'!B60</f>
        <v>Green Stormwater Infrastructure</v>
      </c>
      <c r="E72" s="81">
        <f ca="1">'Detailed Analysis'!C60</f>
        <v>0.5</v>
      </c>
      <c r="F72" s="81" t="str">
        <f ca="1">'Detailed Analysis'!D60</f>
        <v/>
      </c>
    </row>
    <row r="73" spans="3:6">
      <c r="C73" s="34">
        <f>F73-E73</f>
        <v>-2</v>
      </c>
      <c r="D73" s="34" t="str">
        <f ca="1">'Detailed Analysis'!B61</f>
        <v>Accessible Energy Utility Data</v>
      </c>
      <c r="E73" s="34">
        <f ca="1">'Detailed Analysis'!C61</f>
        <v>2</v>
      </c>
      <c r="F73" s="34">
        <f ca="1">'Detailed Analysis'!D61</f>
        <v>0</v>
      </c>
    </row>
    <row r="74" spans="3:6">
      <c r="D74" s="81" t="str">
        <f ca="1">'Detailed Analysis'!B62</f>
        <v>Energy Data Provision</v>
      </c>
      <c r="E74" s="81">
        <f ca="1">'Detailed Analysis'!C62</f>
        <v>2</v>
      </c>
      <c r="F74" s="81" t="str">
        <f ca="1">'Detailed Analysis'!D62</f>
        <v/>
      </c>
    </row>
    <row r="75" spans="3:6">
      <c r="C75" s="34" t="e">
        <f>F75-E75</f>
        <v>#VALUE!</v>
      </c>
      <c r="D75" s="34" t="str">
        <f ca="1">'Detailed Analysis'!B63</f>
        <v>Comprehensive Energy Management at Utilities</v>
      </c>
      <c r="E75" s="34">
        <f ca="1">'Detailed Analysis'!C63</f>
        <v>6.5</v>
      </c>
      <c r="F75" s="34" t="e">
        <f ca="1">'Detailed Analysis'!D63</f>
        <v>#VALUE!</v>
      </c>
    </row>
    <row r="76" spans="3:6">
      <c r="D76" s="81" t="str">
        <f ca="1">'Detailed Analysis'!B64</f>
        <v>EE Targets and Funding Agreements</v>
      </c>
      <c r="E76" s="81">
        <f ca="1">'Detailed Analysis'!C64</f>
        <v>0</v>
      </c>
      <c r="F76" s="81">
        <f ca="1">'Detailed Analysis'!N64</f>
        <v>0</v>
      </c>
    </row>
    <row r="77" spans="3:6">
      <c r="D77" s="81" t="str">
        <f ca="1">'Detailed Analysis'!B65</f>
        <v>Water Efficiency</v>
      </c>
      <c r="E77" s="81">
        <f ca="1">'Detailed Analysis'!C65</f>
        <v>2</v>
      </c>
      <c r="F77" s="81" t="e">
        <f ca="1">'Detailed Analysis'!D65</f>
        <v>#VALUE!</v>
      </c>
    </row>
    <row r="78" spans="3:6">
      <c r="D78" s="81" t="str">
        <f ca="1">'Detailed Analysis'!B66</f>
        <v>Efficient Stormwater Management</v>
      </c>
      <c r="E78" s="81">
        <f ca="1">'Detailed Analysis'!C66</f>
        <v>0.5</v>
      </c>
      <c r="F78" s="81" t="str">
        <f ca="1">'Detailed Analysis'!D66</f>
        <v/>
      </c>
    </row>
    <row r="79" spans="3:6">
      <c r="D79" s="81" t="str">
        <f ca="1">'Detailed Analysis'!B67</f>
        <v>Energy Efficiency in Water Services</v>
      </c>
      <c r="E79" s="81">
        <f ca="1">'Detailed Analysis'!C67</f>
        <v>2</v>
      </c>
      <c r="F79" s="81">
        <f ca="1">'Detailed Analysis'!D67</f>
        <v>0</v>
      </c>
    </row>
    <row r="80" spans="3:6">
      <c r="C80" s="79" t="e">
        <f>F80-E80</f>
        <v>#VALUE!</v>
      </c>
      <c r="D80" s="79" t="str">
        <f ca="1">'Detailed Analysis'!B68</f>
        <v>Transportation Policies</v>
      </c>
      <c r="E80" s="79">
        <f ca="1">'Detailed Analysis'!C68</f>
        <v>28</v>
      </c>
      <c r="F80" s="79" t="e">
        <f ca="1">'Detailed Analysis'!D68</f>
        <v>#VALUE!</v>
      </c>
    </row>
    <row r="81" spans="3:6">
      <c r="C81" s="34">
        <f>F81-E81</f>
        <v>-5.5</v>
      </c>
      <c r="D81" s="34" t="str">
        <f ca="1">'Detailed Analysis'!B69</f>
        <v xml:space="preserve">Getting Started </v>
      </c>
      <c r="E81" s="34">
        <f ca="1">'Detailed Analysis'!C69</f>
        <v>9</v>
      </c>
      <c r="F81" s="34">
        <f ca="1">'Detailed Analysis'!D69</f>
        <v>3.5</v>
      </c>
    </row>
    <row r="82" spans="3:6">
      <c r="D82" s="81" t="str">
        <f ca="1">'Detailed Analysis'!B70</f>
        <v>Complete Streets</v>
      </c>
      <c r="E82" s="81">
        <f ca="1">'Detailed Analysis'!C70</f>
        <v>2</v>
      </c>
      <c r="F82" s="81">
        <f ca="1">'Detailed Analysis'!D70</f>
        <v>0.5</v>
      </c>
    </row>
    <row r="83" spans="3:6">
      <c r="D83" s="81" t="str">
        <f ca="1">'Detailed Analysis'!B71</f>
        <v>Car and Bike Sharing</v>
      </c>
      <c r="E83" s="81">
        <f ca="1">'Detailed Analysis'!C71</f>
        <v>2</v>
      </c>
      <c r="F83" s="81">
        <f ca="1">'Detailed Analysis'!D71</f>
        <v>2</v>
      </c>
    </row>
    <row r="84" spans="3:6">
      <c r="D84" s="81" t="str">
        <f ca="1">'Detailed Analysis'!B72</f>
        <v>Transportation Funding</v>
      </c>
      <c r="E84" s="81">
        <f ca="1">'Detailed Analysis'!C72</f>
        <v>4</v>
      </c>
      <c r="F84" s="81">
        <f ca="1">'Detailed Analysis'!D72</f>
        <v>1</v>
      </c>
    </row>
    <row r="85" spans="3:6">
      <c r="D85" s="81" t="str">
        <f ca="1">'Detailed Analysis'!B73</f>
        <v>Transportation Partnerships</v>
      </c>
      <c r="E85" s="81">
        <f ca="1">'Detailed Analysis'!C73</f>
        <v>1</v>
      </c>
      <c r="F85" s="81" t="str">
        <f ca="1">'Detailed Analysis'!D73</f>
        <v/>
      </c>
    </row>
    <row r="86" spans="3:6">
      <c r="C86" s="34">
        <f>F86-E86</f>
        <v>-2.5</v>
      </c>
      <c r="D86" s="34" t="str">
        <f ca="1">'Detailed Analysis'!B74</f>
        <v>Improve Access to Actionable Information</v>
      </c>
      <c r="E86" s="34">
        <f ca="1">'Detailed Analysis'!C74</f>
        <v>2.5</v>
      </c>
      <c r="F86" s="34">
        <f ca="1">'Detailed Analysis'!D74</f>
        <v>0</v>
      </c>
    </row>
    <row r="87" spans="3:6">
      <c r="D87" s="81" t="str">
        <f ca="1">'Detailed Analysis'!B75</f>
        <v>Location Efficiency Information Policies</v>
      </c>
      <c r="E87" s="81">
        <f ca="1">'Detailed Analysis'!C75</f>
        <v>0.5</v>
      </c>
      <c r="F87" s="81" t="str">
        <f ca="1">'Detailed Analysis'!D75</f>
        <v/>
      </c>
    </row>
    <row r="88" spans="3:6">
      <c r="D88" s="81" t="str">
        <f ca="1">'Detailed Analysis'!B76</f>
        <v>Parking Requirements</v>
      </c>
      <c r="E88" s="81">
        <f ca="1">'Detailed Analysis'!C76</f>
        <v>2</v>
      </c>
      <c r="F88" s="81" t="str">
        <f ca="1">'Detailed Analysis'!D76</f>
        <v/>
      </c>
    </row>
    <row r="89" spans="3:6">
      <c r="C89" s="34" t="e">
        <f>F89-E89</f>
        <v>#VALUE!</v>
      </c>
      <c r="D89" s="34" t="str">
        <f ca="1">'Detailed Analysis'!B77</f>
        <v>Comprehensive Energy Strategy</v>
      </c>
      <c r="E89" s="34">
        <f ca="1">'Detailed Analysis'!C77</f>
        <v>11.5</v>
      </c>
      <c r="F89" s="34" t="e">
        <f ca="1">'Detailed Analysis'!D77</f>
        <v>#VALUE!</v>
      </c>
    </row>
    <row r="90" spans="3:6">
      <c r="D90" s="81" t="str">
        <f ca="1">'Detailed Analysis'!B78</f>
        <v xml:space="preserve">Location-Efficient Zoning </v>
      </c>
      <c r="E90" s="81">
        <f ca="1">'Detailed Analysis'!C78</f>
        <v>2</v>
      </c>
      <c r="F90" s="81">
        <f ca="1">'Detailed Analysis'!D78</f>
        <v>0</v>
      </c>
    </row>
    <row r="91" spans="3:6">
      <c r="D91" s="81" t="str">
        <f ca="1">'Detailed Analysis'!B79</f>
        <v>Integration of Transportation and Land Use Planning</v>
      </c>
      <c r="E91" s="81">
        <f ca="1">'Detailed Analysis'!C79</f>
        <v>4</v>
      </c>
      <c r="F91" s="81" t="e">
        <f ca="1">'Detailed Analysis'!D79</f>
        <v>#VALUE!</v>
      </c>
    </row>
    <row r="92" spans="3:6">
      <c r="D92" s="81" t="str">
        <f ca="1">'Detailed Analysis'!B80</f>
        <v>Access to Transit Services</v>
      </c>
      <c r="E92" s="81">
        <f ca="1">'Detailed Analysis'!C80</f>
        <v>2</v>
      </c>
      <c r="F92" s="81">
        <f ca="1">'Detailed Analysis'!D80</f>
        <v>1</v>
      </c>
    </row>
    <row r="93" spans="3:6">
      <c r="D93" s="81" t="str">
        <f ca="1">'Detailed Analysis'!B81</f>
        <v>Efficient Driving Behavior</v>
      </c>
      <c r="E93" s="81">
        <f ca="1">'Detailed Analysis'!C81</f>
        <v>0.5</v>
      </c>
      <c r="F93" s="81">
        <f ca="1">'Detailed Analysis'!D81</f>
        <v>0.5</v>
      </c>
    </row>
    <row r="94" spans="3:6">
      <c r="D94" s="81" t="str">
        <f ca="1">'Detailed Analysis'!B82</f>
        <v>Intermodal Freight Facilities</v>
      </c>
      <c r="E94" s="81">
        <f ca="1">'Detailed Analysis'!C82</f>
        <v>3</v>
      </c>
      <c r="F94" s="81">
        <f ca="1">'Detailed Analysis'!D82</f>
        <v>0</v>
      </c>
    </row>
    <row r="95" spans="3:6">
      <c r="C95" s="34">
        <f>F95-E95</f>
        <v>-4</v>
      </c>
      <c r="D95" s="34" t="str">
        <f ca="1">'Detailed Analysis'!B83</f>
        <v>Incentives</v>
      </c>
      <c r="E95" s="34">
        <f ca="1">'Detailed Analysis'!C83</f>
        <v>5</v>
      </c>
      <c r="F95" s="34">
        <f ca="1">'Detailed Analysis'!D83</f>
        <v>1</v>
      </c>
    </row>
    <row r="96" spans="3:6">
      <c r="D96" s="81" t="str">
        <f ca="1">'Detailed Analysis'!B84</f>
        <v>Incentives to Encourage Creation of Mixed-Use Communities</v>
      </c>
      <c r="E96" s="81">
        <f ca="1">'Detailed Analysis'!C84</f>
        <v>1.5</v>
      </c>
      <c r="F96" s="81">
        <f ca="1">'Detailed Analysis'!D84</f>
        <v>0</v>
      </c>
    </row>
    <row r="97" spans="2:6">
      <c r="D97" s="81" t="str">
        <f ca="1">'Detailed Analysis'!B85</f>
        <v>Transportation Demand Management Programs</v>
      </c>
      <c r="E97" s="81">
        <f ca="1">'Detailed Analysis'!C85</f>
        <v>2</v>
      </c>
      <c r="F97" s="81">
        <f ca="1">'Detailed Analysis'!D85</f>
        <v>1</v>
      </c>
    </row>
    <row r="98" spans="2:6">
      <c r="D98" s="81" t="str">
        <f ca="1">'Detailed Analysis'!B86</f>
        <v xml:space="preserve">Vehicle Purchase Incentives </v>
      </c>
      <c r="E98" s="81">
        <f ca="1">'Detailed Analysis'!C86</f>
        <v>1</v>
      </c>
      <c r="F98" s="81">
        <f ca="1">'Detailed Analysis'!D86</f>
        <v>0</v>
      </c>
    </row>
    <row r="99" spans="2:6">
      <c r="D99" s="81" t="str">
        <f ca="1">'Detailed Analysis'!B87</f>
        <v xml:space="preserve">Vehicle Charging Infrastructure Incentives </v>
      </c>
      <c r="E99" s="81">
        <f ca="1">'Detailed Analysis'!C87</f>
        <v>0.5</v>
      </c>
      <c r="F99" s="81" t="str">
        <f ca="1">'Detailed Analysis'!D87</f>
        <v/>
      </c>
    </row>
    <row r="101" spans="2:6">
      <c r="B101" s="80" t="s">
        <v>198</v>
      </c>
      <c r="C101" t="e">
        <f>C12</f>
        <v>#N/A</v>
      </c>
      <c r="D101" t="s">
        <v>202</v>
      </c>
    </row>
    <row r="102" spans="2:6">
      <c r="C102" t="e">
        <f>IF(C101=C17,MIN(C18,C24,C27),IF(C101=C36,MIN(C37,C40,C42),IF(C101=C47,MIN(C48,C52,C57,C62),IF(C101=C67,MIN(C68,C73,C75),IF(C101=C80,MIN(C81,C86,C89,C95))))))</f>
        <v>#N/A</v>
      </c>
      <c r="D102" t="s">
        <v>203</v>
      </c>
    </row>
    <row r="103" spans="2:6">
      <c r="D103" t="e">
        <f>VLOOKUP(C102,C17:F99,2,FALSE)</f>
        <v>#N/A</v>
      </c>
    </row>
    <row r="105" spans="2:6">
      <c r="B105" s="80" t="s">
        <v>242</v>
      </c>
      <c r="C105" t="e">
        <f>C14</f>
        <v>#N/A</v>
      </c>
      <c r="D105" t="s">
        <v>204</v>
      </c>
    </row>
    <row r="106" spans="2:6">
      <c r="C106" t="e">
        <f>IF(C105=C17,MAX(C18,C24,C27),IF(C105=C36,MAX(C37,C40,C42),IF(C105=C47,MAX(C48,C52,C57,C62),IF(C105=C67,MAX(C68,C73,C75),IF(C105=C80,MAX(C81,C86,C89,C95))))))</f>
        <v>#N/A</v>
      </c>
      <c r="D106" t="s">
        <v>205</v>
      </c>
    </row>
    <row r="107" spans="2:6">
      <c r="D107" t="e">
        <f>VLOOKUP(C106,C17:F99,2,FALSE)</f>
        <v>#N/A</v>
      </c>
    </row>
    <row r="109" spans="2:6">
      <c r="C109" t="e">
        <f>IF(C105=C17,MIN(C18,C24,C27),IF(C105=C36,MIN(C37,C40,C42),IF(C105=C47,MIN(C48,C52,C57,C62),IF(C105=C67,MIN(C68,C73,C75),IF(C105=C80,MIN(C81,C86,C89,C95))))))</f>
        <v>#N/A</v>
      </c>
      <c r="D109" t="s">
        <v>241</v>
      </c>
    </row>
    <row r="110" spans="2:6">
      <c r="D110" t="e">
        <f>VLOOKUP(C109,C18:F99,2,FALSE)</f>
        <v>#N/A</v>
      </c>
    </row>
    <row r="112" spans="2:6">
      <c r="E112" s="80" t="s">
        <v>208</v>
      </c>
      <c r="F112" s="83" t="s">
        <v>209</v>
      </c>
    </row>
    <row r="113" spans="2:8">
      <c r="B113" t="s">
        <v>207</v>
      </c>
      <c r="D113" t="s">
        <v>469</v>
      </c>
      <c r="E113">
        <f>C17</f>
        <v>-13.5</v>
      </c>
      <c r="F113">
        <f>MIN(C18,C24,C27)</f>
        <v>-8</v>
      </c>
      <c r="G113" t="str">
        <f>VLOOKUP(F113,C17:F35,2,FALSE)</f>
        <v>Comprehensive Energy Management Strategy for Government Operations</v>
      </c>
    </row>
    <row r="114" spans="2:8">
      <c r="D114" t="s">
        <v>119</v>
      </c>
      <c r="E114">
        <f>C36</f>
        <v>-7.5</v>
      </c>
      <c r="F114">
        <f>MIN(C37,C40,C42)</f>
        <v>-5.5</v>
      </c>
      <c r="G114" t="str">
        <f>VLOOKUP(F114,C36:F46,2,FALSE)</f>
        <v>Comprehensive Community-Wide Energy Management Strategy</v>
      </c>
    </row>
    <row r="115" spans="2:8">
      <c r="D115" t="s">
        <v>120</v>
      </c>
      <c r="E115" t="e">
        <f>C47</f>
        <v>#N/A</v>
      </c>
      <c r="F115" t="e">
        <f>MIN(C48,C52,C57,C62)</f>
        <v>#N/A</v>
      </c>
      <c r="G115" t="e">
        <f>VLOOKUP(F115,C47:F66,2,FALSE)</f>
        <v>#N/A</v>
      </c>
    </row>
    <row r="116" spans="2:8">
      <c r="D116" t="s">
        <v>122</v>
      </c>
      <c r="E116" t="e">
        <f>C67</f>
        <v>#VALUE!</v>
      </c>
      <c r="F116" t="e">
        <f>MIN(C68,C73,C75)</f>
        <v>#VALUE!</v>
      </c>
      <c r="G116" t="e">
        <f>VLOOKUP(F116,C67:F79,2,FALSE)</f>
        <v>#VALUE!</v>
      </c>
    </row>
    <row r="117" spans="2:8">
      <c r="D117" t="s">
        <v>121</v>
      </c>
      <c r="E117" t="e">
        <f>C80</f>
        <v>#VALUE!</v>
      </c>
      <c r="F117" t="e">
        <f>MIN(C81,C86,C89,C95)</f>
        <v>#VALUE!</v>
      </c>
      <c r="G117" t="e">
        <f>VLOOKUP(F117,C81:F99,2,FALSE)</f>
        <v>#VALUE!</v>
      </c>
    </row>
    <row r="120" spans="2:8">
      <c r="D120" s="9" t="s">
        <v>206</v>
      </c>
    </row>
    <row r="121" spans="2:8">
      <c r="D121" s="34" t="str">
        <f ca="1">'Detailed Analysis'!B6</f>
        <v>Initial Energy Management Policies for Government Operations</v>
      </c>
      <c r="E121" s="34">
        <v>3</v>
      </c>
      <c r="F121" s="34">
        <v>1.25</v>
      </c>
      <c r="G121" s="34">
        <v>-1.75</v>
      </c>
      <c r="H121" t="s">
        <v>764</v>
      </c>
    </row>
    <row r="122" spans="2:8">
      <c r="D122" s="34" t="str">
        <f ca="1">'Detailed Analysis'!B12</f>
        <v>Transparent Government Energy Usage</v>
      </c>
      <c r="E122" s="34">
        <v>2</v>
      </c>
      <c r="F122" s="34">
        <v>1</v>
      </c>
      <c r="G122" s="34">
        <v>-1</v>
      </c>
      <c r="H122" t="s">
        <v>185</v>
      </c>
    </row>
    <row r="123" spans="2:8">
      <c r="D123" s="34" t="str">
        <f ca="1">'Detailed Analysis'!B15</f>
        <v>Comprehensive Energy Management Strategy for Government Operations</v>
      </c>
      <c r="E123" s="34">
        <v>9</v>
      </c>
      <c r="F123" s="34">
        <v>3.25</v>
      </c>
      <c r="G123" s="34">
        <v>-5.75</v>
      </c>
      <c r="H123" t="s">
        <v>186</v>
      </c>
    </row>
    <row r="124" spans="2:8">
      <c r="D124" s="34" t="s">
        <v>133</v>
      </c>
      <c r="E124" s="34">
        <v>1.5</v>
      </c>
      <c r="F124" s="34">
        <v>1</v>
      </c>
      <c r="G124" s="34">
        <v>-0.5</v>
      </c>
      <c r="H124" t="s">
        <v>187</v>
      </c>
    </row>
    <row r="125" spans="2:8">
      <c r="D125" s="34" t="s">
        <v>131</v>
      </c>
      <c r="E125" s="34">
        <v>0.5</v>
      </c>
      <c r="F125" s="34">
        <v>0.5</v>
      </c>
      <c r="G125" s="34">
        <v>0</v>
      </c>
      <c r="H125" t="s">
        <v>56</v>
      </c>
    </row>
    <row r="126" spans="2:8">
      <c r="D126" s="34" t="s">
        <v>124</v>
      </c>
      <c r="E126" s="34">
        <v>8</v>
      </c>
      <c r="F126" s="34">
        <v>3</v>
      </c>
      <c r="G126" s="34">
        <v>-5</v>
      </c>
      <c r="H126" t="s">
        <v>188</v>
      </c>
    </row>
    <row r="127" spans="2:8">
      <c r="D127" s="34" t="str">
        <f ca="1">Buildings!B8</f>
        <v>Building Energy Codes</v>
      </c>
      <c r="E127" s="34">
        <v>5</v>
      </c>
      <c r="F127" s="34">
        <v>3</v>
      </c>
      <c r="G127" s="34">
        <v>-2</v>
      </c>
      <c r="H127" t="s">
        <v>189</v>
      </c>
    </row>
    <row r="128" spans="2:8">
      <c r="D128" s="34" t="str">
        <f ca="1">Buildings!B20</f>
        <v>Improving Access to Energy Usage Information</v>
      </c>
      <c r="E128" s="34">
        <v>12</v>
      </c>
      <c r="F128" s="34">
        <v>0</v>
      </c>
      <c r="G128" s="34">
        <v>-12</v>
      </c>
      <c r="H128" t="s">
        <v>190</v>
      </c>
    </row>
    <row r="129" spans="4:8">
      <c r="D129" s="34" t="str">
        <f ca="1">Buildings!B34</f>
        <v>Comprehensive Energy Management Strategy in Buildings</v>
      </c>
      <c r="E129" s="34">
        <v>6</v>
      </c>
      <c r="F129" s="34">
        <v>1</v>
      </c>
      <c r="G129" s="34">
        <v>-5</v>
      </c>
      <c r="H129" t="s">
        <v>766</v>
      </c>
    </row>
    <row r="130" spans="4:8">
      <c r="D130" s="34" t="str">
        <f ca="1">Buildings!B45</f>
        <v>Incentives for More Efficient Buildings</v>
      </c>
      <c r="E130" s="34">
        <v>4</v>
      </c>
      <c r="F130" s="34">
        <v>1</v>
      </c>
      <c r="G130" s="34">
        <v>-3</v>
      </c>
      <c r="H130" t="s">
        <v>765</v>
      </c>
    </row>
    <row r="131" spans="4:8">
      <c r="D131" s="34" t="str">
        <f ca="1">'Detailed Analysis'!B56</f>
        <v>Getting Started Through Incentives</v>
      </c>
      <c r="E131" s="34">
        <v>9.5</v>
      </c>
      <c r="F131" s="34">
        <v>4.5</v>
      </c>
      <c r="G131" s="34">
        <v>-5</v>
      </c>
      <c r="H131" t="s">
        <v>191</v>
      </c>
    </row>
    <row r="132" spans="4:8">
      <c r="D132" s="34" t="str">
        <f ca="1">'Detailed Analysis'!B61</f>
        <v>Accessible Energy Utility Data</v>
      </c>
      <c r="E132" s="34">
        <v>2</v>
      </c>
      <c r="F132" s="34">
        <v>0</v>
      </c>
      <c r="G132" s="34">
        <v>-2</v>
      </c>
      <c r="H132" t="s">
        <v>192</v>
      </c>
    </row>
    <row r="133" spans="4:8">
      <c r="D133" s="34" t="str">
        <f ca="1">'Detailed Analysis'!B63</f>
        <v>Comprehensive Energy Management at Utilities</v>
      </c>
      <c r="E133" s="34">
        <v>4.5</v>
      </c>
      <c r="F133" s="34">
        <v>1</v>
      </c>
      <c r="G133" s="34">
        <v>-3.5</v>
      </c>
      <c r="H133" t="s">
        <v>193</v>
      </c>
    </row>
    <row r="134" spans="4:8">
      <c r="D134" s="34" t="s">
        <v>681</v>
      </c>
      <c r="E134" s="34">
        <v>9</v>
      </c>
      <c r="F134" s="34">
        <v>3</v>
      </c>
      <c r="G134" s="34">
        <v>-6</v>
      </c>
      <c r="H134" t="s">
        <v>194</v>
      </c>
    </row>
    <row r="135" spans="4:8">
      <c r="D135" s="34" t="s">
        <v>370</v>
      </c>
      <c r="E135" s="34">
        <v>2.5</v>
      </c>
      <c r="F135" s="34">
        <v>0</v>
      </c>
      <c r="G135" s="34">
        <v>-2.5</v>
      </c>
      <c r="H135" t="s">
        <v>195</v>
      </c>
    </row>
    <row r="136" spans="4:8">
      <c r="D136" s="34" t="s">
        <v>371</v>
      </c>
      <c r="E136" s="34">
        <v>11</v>
      </c>
      <c r="F136" s="34">
        <v>2</v>
      </c>
      <c r="G136" s="34">
        <v>-9</v>
      </c>
      <c r="H136" t="s">
        <v>237</v>
      </c>
    </row>
    <row r="137" spans="4:8">
      <c r="D137" s="34" t="s">
        <v>360</v>
      </c>
      <c r="E137" s="34">
        <v>2</v>
      </c>
      <c r="F137" s="34">
        <v>0</v>
      </c>
      <c r="G137" s="34">
        <v>-2</v>
      </c>
      <c r="H137" t="s">
        <v>196</v>
      </c>
    </row>
  </sheetData>
  <mergeCells count="1">
    <mergeCell ref="C2:F2"/>
  </mergeCells>
  <phoneticPr fontId="4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Local Government</vt:lpstr>
      <vt:lpstr>Community-Wide</vt:lpstr>
      <vt:lpstr>Buildings</vt:lpstr>
      <vt:lpstr>Utility</vt:lpstr>
      <vt:lpstr>Transportation</vt:lpstr>
      <vt:lpstr>Intro Analysis</vt:lpstr>
      <vt:lpstr>Detailed Analysis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ACEEE</dc:creator>
  <cp:lastModifiedBy> </cp:lastModifiedBy>
  <dcterms:created xsi:type="dcterms:W3CDTF">2013-07-03T19:11:46Z</dcterms:created>
  <dcterms:modified xsi:type="dcterms:W3CDTF">2013-10-07T16:19:18Z</dcterms:modified>
</cp:coreProperties>
</file>